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tia\отпадъци\отчисления\"/>
    </mc:Choice>
  </mc:AlternateContent>
  <bookViews>
    <workbookView xWindow="0" yWindow="765" windowWidth="8595" windowHeight="80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Лист1!$A$1:$S$32</definedName>
  </definedNames>
  <calcPr calcId="162913"/>
</workbook>
</file>

<file path=xl/calcChain.xml><?xml version="1.0" encoding="utf-8"?>
<calcChain xmlns="http://schemas.openxmlformats.org/spreadsheetml/2006/main">
  <c r="I103" i="1" l="1"/>
  <c r="H419" i="1" l="1"/>
  <c r="I552" i="1" l="1"/>
  <c r="H552" i="1"/>
  <c r="J487" i="1"/>
  <c r="G694" i="1"/>
  <c r="J276" i="1"/>
  <c r="J179" i="1"/>
  <c r="I179" i="1"/>
  <c r="J103" i="1"/>
  <c r="H103" i="1"/>
  <c r="G103" i="1"/>
  <c r="J488" i="1" l="1"/>
  <c r="I488" i="1"/>
  <c r="I487" i="1"/>
  <c r="H487" i="1"/>
  <c r="G487" i="1"/>
  <c r="H348" i="1"/>
  <c r="H349" i="1" s="1"/>
  <c r="G348" i="1"/>
  <c r="G349" i="1" s="1"/>
  <c r="I276" i="1"/>
  <c r="H276" i="1"/>
  <c r="G276" i="1"/>
  <c r="I273" i="1"/>
  <c r="J348" i="1"/>
  <c r="I348" i="1"/>
  <c r="H699" i="1" l="1"/>
  <c r="G699" i="1"/>
  <c r="J698" i="1"/>
  <c r="I698" i="1"/>
  <c r="H694" i="1"/>
  <c r="J627" i="1"/>
  <c r="I627" i="1"/>
  <c r="H627" i="1"/>
  <c r="G627" i="1"/>
  <c r="J556" i="1"/>
  <c r="I556" i="1"/>
  <c r="H556" i="1"/>
  <c r="G556" i="1"/>
  <c r="J419" i="1"/>
  <c r="I419" i="1"/>
  <c r="G419" i="1"/>
  <c r="I484" i="1"/>
  <c r="G482" i="1"/>
  <c r="I623" i="1" l="1"/>
  <c r="J273" i="1"/>
  <c r="J100" i="1"/>
  <c r="I100" i="1"/>
  <c r="H100" i="1"/>
  <c r="G100" i="1"/>
  <c r="I174" i="1"/>
  <c r="H486" i="1"/>
  <c r="H488" i="1" s="1"/>
  <c r="G486" i="1"/>
  <c r="G488" i="1" s="1"/>
  <c r="J484" i="1"/>
  <c r="J486" i="1" s="1"/>
  <c r="I486" i="1"/>
  <c r="H273" i="1"/>
  <c r="G273" i="1"/>
  <c r="J177" i="1"/>
  <c r="I177" i="1"/>
  <c r="J696" i="1"/>
  <c r="J697" i="1" s="1"/>
  <c r="J699" i="1" s="1"/>
  <c r="I696" i="1"/>
  <c r="I697" i="1" s="1"/>
  <c r="I699" i="1" s="1"/>
  <c r="J625" i="1"/>
  <c r="I625" i="1"/>
  <c r="H625" i="1"/>
  <c r="G625" i="1"/>
  <c r="J554" i="1"/>
  <c r="I554" i="1"/>
  <c r="H554" i="1"/>
  <c r="G554" i="1"/>
  <c r="J417" i="1" l="1"/>
  <c r="I417" i="1"/>
  <c r="J345" i="1" l="1"/>
  <c r="I345" i="1"/>
  <c r="H482" i="1" l="1"/>
  <c r="G271" i="1"/>
  <c r="J344" i="1" l="1"/>
  <c r="J347" i="1" s="1"/>
  <c r="I344" i="1"/>
  <c r="I347" i="1" s="1"/>
  <c r="J343" i="1"/>
  <c r="I343" i="1"/>
  <c r="J271" i="1"/>
  <c r="I271" i="1"/>
  <c r="J174" i="1" l="1"/>
  <c r="J694" i="1" l="1"/>
  <c r="I694" i="1"/>
  <c r="J623" i="1"/>
  <c r="H623" i="1"/>
  <c r="G623" i="1"/>
  <c r="J552" i="1"/>
  <c r="G552" i="1"/>
  <c r="J482" i="1"/>
  <c r="I482" i="1"/>
  <c r="J415" i="1"/>
  <c r="I415" i="1"/>
  <c r="H415" i="1"/>
  <c r="G415" i="1"/>
  <c r="H271" i="1"/>
  <c r="H343" i="1"/>
  <c r="J413" i="1"/>
  <c r="I411" i="1"/>
  <c r="G343" i="1"/>
  <c r="J176" i="1"/>
  <c r="J178" i="1" s="1"/>
  <c r="J180" i="1" s="1"/>
  <c r="I176" i="1"/>
  <c r="I178" i="1" s="1"/>
  <c r="I180" i="1" s="1"/>
  <c r="J97" i="1" l="1"/>
  <c r="I97" i="1"/>
  <c r="H97" i="1"/>
  <c r="G97" i="1"/>
  <c r="J172" i="1" l="1"/>
  <c r="I172" i="1"/>
  <c r="H172" i="1"/>
  <c r="G172" i="1"/>
  <c r="G95" i="1" l="1"/>
  <c r="H95" i="1"/>
  <c r="J95" i="1"/>
  <c r="I95" i="1"/>
  <c r="J692" i="1" l="1"/>
  <c r="J693" i="1" s="1"/>
  <c r="I692" i="1"/>
  <c r="I693" i="1" s="1"/>
  <c r="J621" i="1"/>
  <c r="J622" i="1" s="1"/>
  <c r="I621" i="1"/>
  <c r="I622" i="1" s="1"/>
  <c r="J550" i="1"/>
  <c r="J551" i="1" s="1"/>
  <c r="I550" i="1"/>
  <c r="I551" i="1" s="1"/>
  <c r="J480" i="1"/>
  <c r="J481" i="1" s="1"/>
  <c r="I480" i="1"/>
  <c r="I481" i="1" s="1"/>
  <c r="J414" i="1"/>
  <c r="I413" i="1"/>
  <c r="I414" i="1" s="1"/>
  <c r="J341" i="1"/>
  <c r="J342" i="1" s="1"/>
  <c r="I341" i="1"/>
  <c r="I342" i="1" s="1"/>
  <c r="J269" i="1"/>
  <c r="J270" i="1" s="1"/>
  <c r="I269" i="1"/>
  <c r="I270" i="1" s="1"/>
  <c r="H86" i="1" l="1"/>
  <c r="G263" i="1" l="1"/>
  <c r="J93" i="1" l="1"/>
  <c r="I93" i="1"/>
  <c r="G93" i="1" l="1"/>
  <c r="H93" i="1"/>
  <c r="J267" i="1"/>
  <c r="I267" i="1"/>
  <c r="H267" i="1"/>
  <c r="G267" i="1"/>
  <c r="J690" i="1"/>
  <c r="I690" i="1"/>
  <c r="H690" i="1"/>
  <c r="G690" i="1"/>
  <c r="J619" i="1" l="1"/>
  <c r="I619" i="1"/>
  <c r="H619" i="1"/>
  <c r="G619" i="1"/>
  <c r="J548" i="1"/>
  <c r="I548" i="1"/>
  <c r="H548" i="1"/>
  <c r="G548" i="1"/>
  <c r="J478" i="1"/>
  <c r="I478" i="1"/>
  <c r="H478" i="1"/>
  <c r="G478" i="1"/>
  <c r="J411" i="1"/>
  <c r="H411" i="1"/>
  <c r="G411" i="1"/>
  <c r="J339" i="1"/>
  <c r="I339" i="1"/>
  <c r="H339" i="1"/>
  <c r="G339" i="1"/>
  <c r="J170" i="1"/>
  <c r="I170" i="1"/>
  <c r="I546" i="1" l="1"/>
  <c r="J265" i="1" l="1"/>
  <c r="I265" i="1"/>
  <c r="J337" i="1"/>
  <c r="I337" i="1"/>
  <c r="J476" i="1"/>
  <c r="I476" i="1"/>
  <c r="J546" i="1"/>
  <c r="J617" i="1"/>
  <c r="I617" i="1"/>
  <c r="J688" i="1"/>
  <c r="I688" i="1"/>
  <c r="H688" i="1"/>
  <c r="G688" i="1"/>
  <c r="H617" i="1"/>
  <c r="G617" i="1"/>
  <c r="H265" i="1"/>
  <c r="G265" i="1"/>
  <c r="H337" i="1"/>
  <c r="G337" i="1"/>
  <c r="H409" i="1"/>
  <c r="G409" i="1"/>
  <c r="H476" i="1"/>
  <c r="G476" i="1"/>
  <c r="H546" i="1"/>
  <c r="G546" i="1"/>
  <c r="J409" i="1" l="1"/>
  <c r="I409" i="1"/>
  <c r="H91" i="1" l="1"/>
  <c r="G91" i="1"/>
  <c r="J168" i="1" l="1"/>
  <c r="I168" i="1" l="1"/>
  <c r="G544" i="1"/>
  <c r="J263" i="1" l="1"/>
  <c r="I263" i="1"/>
  <c r="H263" i="1"/>
  <c r="H684" i="1"/>
  <c r="G684" i="1"/>
  <c r="H261" i="1"/>
  <c r="G261" i="1"/>
  <c r="H333" i="1"/>
  <c r="G333" i="1"/>
  <c r="H405" i="1"/>
  <c r="G405" i="1"/>
  <c r="H472" i="1"/>
  <c r="G472" i="1"/>
  <c r="H542" i="1"/>
  <c r="G542" i="1"/>
  <c r="H613" i="1"/>
  <c r="G613" i="1"/>
  <c r="J686" i="1" l="1"/>
  <c r="I686" i="1"/>
  <c r="H686" i="1"/>
  <c r="G686" i="1"/>
  <c r="J615" i="1"/>
  <c r="I615" i="1"/>
  <c r="H615" i="1"/>
  <c r="G615" i="1"/>
  <c r="J544" i="1"/>
  <c r="I544" i="1"/>
  <c r="H544" i="1"/>
  <c r="J474" i="1"/>
  <c r="I474" i="1"/>
  <c r="H474" i="1"/>
  <c r="G474" i="1"/>
  <c r="J407" i="1"/>
  <c r="I407" i="1"/>
  <c r="H407" i="1"/>
  <c r="G407" i="1"/>
  <c r="J335" i="1"/>
  <c r="I335" i="1"/>
  <c r="H335" i="1"/>
  <c r="G335" i="1"/>
  <c r="I169" i="1" l="1"/>
  <c r="I171" i="1" s="1"/>
  <c r="I166" i="1"/>
  <c r="J166" i="1"/>
  <c r="J169" i="1" s="1"/>
  <c r="J171" i="1" s="1"/>
  <c r="H89" i="1"/>
  <c r="G89" i="1"/>
  <c r="I687" i="1"/>
  <c r="J687" i="1"/>
  <c r="J616" i="1"/>
  <c r="I616" i="1"/>
  <c r="J545" i="1"/>
  <c r="I545" i="1"/>
  <c r="J475" i="1"/>
  <c r="I475" i="1"/>
  <c r="J408" i="1"/>
  <c r="I408" i="1"/>
  <c r="J336" i="1"/>
  <c r="I336" i="1"/>
  <c r="I264" i="1"/>
  <c r="J264" i="1"/>
  <c r="G470" i="1" l="1"/>
  <c r="J163" i="1"/>
  <c r="I163" i="1"/>
  <c r="H84" i="1"/>
  <c r="G84" i="1"/>
  <c r="I84" i="1"/>
  <c r="J84" i="1"/>
  <c r="G86" i="1"/>
  <c r="K84" i="1" l="1"/>
  <c r="H611" i="1"/>
  <c r="G611" i="1"/>
  <c r="H540" i="1"/>
  <c r="G540" i="1"/>
  <c r="H470" i="1"/>
  <c r="J161" i="1" l="1"/>
  <c r="J162" i="1" s="1"/>
  <c r="I161" i="1"/>
  <c r="I162" i="1" s="1"/>
  <c r="H161" i="1"/>
  <c r="G161" i="1"/>
  <c r="H680" i="1"/>
  <c r="G680" i="1"/>
  <c r="H678" i="1"/>
  <c r="H609" i="1"/>
  <c r="G609" i="1"/>
  <c r="K161" i="1" l="1"/>
  <c r="K162" i="1" s="1"/>
  <c r="H538" i="1"/>
  <c r="G538" i="1"/>
  <c r="H468" i="1"/>
  <c r="G468" i="1"/>
  <c r="H401" i="1"/>
  <c r="G401" i="1"/>
  <c r="H329" i="1"/>
  <c r="H330" i="1" s="1"/>
  <c r="H332" i="1" s="1"/>
  <c r="H334" i="1" s="1"/>
  <c r="H336" i="1" s="1"/>
  <c r="H338" i="1" s="1"/>
  <c r="H340" i="1" s="1"/>
  <c r="H342" i="1" s="1"/>
  <c r="H344" i="1" s="1"/>
  <c r="G329" i="1"/>
  <c r="H256" i="1"/>
  <c r="H255" i="1"/>
  <c r="G256" i="1"/>
  <c r="G255" i="1"/>
  <c r="H159" i="1"/>
  <c r="G159" i="1"/>
  <c r="H82" i="1"/>
  <c r="H81" i="1"/>
  <c r="G82" i="1"/>
  <c r="G81" i="1"/>
  <c r="P80" i="1" l="1"/>
  <c r="P83" i="1" s="1"/>
  <c r="P85" i="1" s="1"/>
  <c r="G678" i="1"/>
  <c r="H607" i="1"/>
  <c r="G607" i="1"/>
  <c r="H536" i="1"/>
  <c r="G536" i="1"/>
  <c r="H466" i="1"/>
  <c r="G466" i="1"/>
  <c r="H399" i="1"/>
  <c r="G399" i="1"/>
  <c r="H253" i="1"/>
  <c r="H252" i="1"/>
  <c r="G253" i="1"/>
  <c r="G252" i="1"/>
  <c r="H156" i="1"/>
  <c r="G156" i="1"/>
  <c r="H78" i="1"/>
  <c r="H77" i="1"/>
  <c r="G78" i="1"/>
  <c r="G77" i="1"/>
  <c r="P155" i="1" l="1"/>
  <c r="P158" i="1" s="1"/>
  <c r="P160" i="1" l="1"/>
  <c r="P162" i="1" s="1"/>
  <c r="H152" i="1"/>
  <c r="G152" i="1"/>
  <c r="G154" i="1"/>
  <c r="H72" i="1"/>
  <c r="H71" i="1"/>
  <c r="G72" i="1"/>
  <c r="G71" i="1"/>
  <c r="G75" i="1"/>
  <c r="G74" i="1"/>
  <c r="G397" i="1" l="1"/>
  <c r="G464" i="1"/>
  <c r="G534" i="1"/>
  <c r="G605" i="1"/>
  <c r="G676" i="1"/>
  <c r="H674" i="1"/>
  <c r="G674" i="1"/>
  <c r="H603" i="1"/>
  <c r="G603" i="1"/>
  <c r="H532" i="1"/>
  <c r="G532" i="1"/>
  <c r="H462" i="1"/>
  <c r="G462" i="1"/>
  <c r="H395" i="1"/>
  <c r="G395" i="1"/>
  <c r="G250" i="1" l="1"/>
  <c r="G249" i="1"/>
  <c r="H247" i="1"/>
  <c r="H246" i="1"/>
  <c r="G247" i="1"/>
  <c r="G246" i="1"/>
  <c r="H323" i="1"/>
  <c r="G323" i="1"/>
  <c r="G325" i="1"/>
  <c r="E324" i="1" l="1"/>
  <c r="E326" i="1" s="1"/>
  <c r="E328" i="1" s="1"/>
  <c r="E330" i="1" s="1"/>
  <c r="E332" i="1" s="1"/>
  <c r="E334" i="1" s="1"/>
  <c r="E336" i="1" s="1"/>
  <c r="E338" i="1" s="1"/>
  <c r="E340" i="1" s="1"/>
  <c r="E342" i="1" s="1"/>
  <c r="E344" i="1" s="1"/>
  <c r="E347" i="1" s="1"/>
  <c r="E349" i="1" s="1"/>
  <c r="E396" i="1"/>
  <c r="E398" i="1" s="1"/>
  <c r="E400" i="1" s="1"/>
  <c r="E402" i="1" s="1"/>
  <c r="E404" i="1" s="1"/>
  <c r="E406" i="1" s="1"/>
  <c r="E408" i="1" s="1"/>
  <c r="E410" i="1" s="1"/>
  <c r="E412" i="1" s="1"/>
  <c r="E414" i="1" s="1"/>
  <c r="E416" i="1" s="1"/>
  <c r="E418" i="1" s="1"/>
  <c r="E420" i="1" s="1"/>
  <c r="H671" i="1" l="1"/>
  <c r="G671" i="1"/>
  <c r="H600" i="1"/>
  <c r="G600" i="1"/>
  <c r="H530" i="1"/>
  <c r="G530" i="1"/>
  <c r="H460" i="1"/>
  <c r="G460" i="1"/>
  <c r="H392" i="1"/>
  <c r="G392" i="1"/>
  <c r="H320" i="1"/>
  <c r="G320" i="1"/>
  <c r="H244" i="1"/>
  <c r="G244" i="1"/>
  <c r="H242" i="1"/>
  <c r="G242" i="1"/>
  <c r="H149" i="1" l="1"/>
  <c r="G149" i="1"/>
  <c r="H68" i="1"/>
  <c r="G68" i="1"/>
  <c r="H67" i="1"/>
  <c r="G67" i="1"/>
  <c r="G70" i="1" l="1"/>
  <c r="G73" i="1" s="1"/>
  <c r="G76" i="1" s="1"/>
  <c r="G80" i="1" s="1"/>
  <c r="G83" i="1" s="1"/>
  <c r="G85" i="1" s="1"/>
  <c r="G88" i="1" s="1"/>
  <c r="G90" i="1" s="1"/>
  <c r="G92" i="1" s="1"/>
  <c r="G94" i="1" s="1"/>
  <c r="G96" i="1" s="1"/>
  <c r="G99" i="1" s="1"/>
  <c r="G102" i="1" s="1"/>
  <c r="G104" i="1" s="1"/>
  <c r="H669" i="1"/>
  <c r="G669" i="1"/>
  <c r="H598" i="1"/>
  <c r="G598" i="1"/>
  <c r="H528" i="1"/>
  <c r="G528" i="1"/>
  <c r="H458" i="1"/>
  <c r="G458" i="1"/>
  <c r="H390" i="1"/>
  <c r="G390" i="1"/>
  <c r="H318" i="1"/>
  <c r="G318" i="1"/>
  <c r="H240" i="1"/>
  <c r="G240" i="1"/>
  <c r="H239" i="1"/>
  <c r="G239" i="1"/>
  <c r="P148" i="1" l="1"/>
  <c r="P151" i="1" s="1"/>
  <c r="H146" i="1" l="1"/>
  <c r="G146" i="1"/>
  <c r="H63" i="1"/>
  <c r="H62" i="1"/>
  <c r="G63" i="1"/>
  <c r="G62" i="1"/>
  <c r="H144" i="1"/>
  <c r="G144" i="1"/>
  <c r="H64" i="1"/>
  <c r="G64" i="1"/>
  <c r="H237" i="1" l="1"/>
  <c r="H236" i="1"/>
  <c r="G237" i="1"/>
  <c r="G236" i="1"/>
  <c r="H316" i="1"/>
  <c r="G316" i="1"/>
  <c r="H388" i="1"/>
  <c r="G388" i="1"/>
  <c r="H456" i="1"/>
  <c r="G456" i="1"/>
  <c r="H526" i="1"/>
  <c r="G526" i="1"/>
  <c r="H596" i="1"/>
  <c r="G596" i="1"/>
  <c r="H667" i="1"/>
  <c r="G667" i="1"/>
  <c r="H143" i="1" l="1"/>
  <c r="G143" i="1"/>
  <c r="H60" i="1"/>
  <c r="G60" i="1"/>
  <c r="H59" i="1"/>
  <c r="G59" i="1"/>
  <c r="H57" i="1"/>
  <c r="G57" i="1"/>
  <c r="H56" i="1"/>
  <c r="G56" i="1"/>
  <c r="H141" i="1"/>
  <c r="G141" i="1"/>
  <c r="H665" i="1" l="1"/>
  <c r="G665" i="1"/>
  <c r="H594" i="1"/>
  <c r="G594" i="1"/>
  <c r="H524" i="1"/>
  <c r="G524" i="1"/>
  <c r="H454" i="1"/>
  <c r="G454" i="1"/>
  <c r="H386" i="1"/>
  <c r="G386" i="1"/>
  <c r="H314" i="1"/>
  <c r="G314" i="1"/>
  <c r="H234" i="1"/>
  <c r="H233" i="1"/>
  <c r="G234" i="1"/>
  <c r="G233" i="1"/>
  <c r="H662" i="1" l="1"/>
  <c r="G662" i="1"/>
  <c r="H591" i="1"/>
  <c r="G591" i="1"/>
  <c r="H311" i="1"/>
  <c r="G311" i="1"/>
  <c r="H383" i="1"/>
  <c r="G383" i="1"/>
  <c r="H452" i="1"/>
  <c r="G452" i="1"/>
  <c r="H521" i="1"/>
  <c r="G521" i="1"/>
  <c r="H230" i="1"/>
  <c r="G230" i="1"/>
  <c r="G229" i="1"/>
  <c r="P235" i="1" l="1"/>
  <c r="P238" i="1" s="1"/>
  <c r="P241" i="1" s="1"/>
  <c r="P315" i="1"/>
  <c r="P317" i="1" s="1"/>
  <c r="P319" i="1" s="1"/>
  <c r="P322" i="1" s="1"/>
  <c r="P387" i="1"/>
  <c r="P389" i="1" s="1"/>
  <c r="P391" i="1" s="1"/>
  <c r="P394" i="1" s="1"/>
  <c r="P455" i="1"/>
  <c r="P457" i="1" s="1"/>
  <c r="P459" i="1" s="1"/>
  <c r="P461" i="1" s="1"/>
  <c r="P525" i="1"/>
  <c r="P527" i="1" s="1"/>
  <c r="P529" i="1" s="1"/>
  <c r="P531" i="1" s="1"/>
  <c r="P595" i="1"/>
  <c r="P597" i="1" s="1"/>
  <c r="P599" i="1" s="1"/>
  <c r="P602" i="1" s="1"/>
  <c r="P666" i="1"/>
  <c r="P668" i="1" s="1"/>
  <c r="P670" i="1" s="1"/>
  <c r="P673" i="1" s="1"/>
  <c r="P245" i="1" l="1"/>
  <c r="P248" i="1" s="1"/>
  <c r="H660" i="1"/>
  <c r="G660" i="1"/>
  <c r="H589" i="1"/>
  <c r="G589" i="1"/>
  <c r="H519" i="1"/>
  <c r="G519" i="1"/>
  <c r="H450" i="1"/>
  <c r="G450" i="1"/>
  <c r="H381" i="1"/>
  <c r="G381" i="1"/>
  <c r="H309" i="1"/>
  <c r="G309" i="1"/>
  <c r="H227" i="1"/>
  <c r="H226" i="1"/>
  <c r="G227" i="1"/>
  <c r="G226" i="1"/>
  <c r="H138" i="1" l="1"/>
  <c r="G138" i="1"/>
  <c r="H53" i="1"/>
  <c r="G53" i="1"/>
  <c r="H52" i="1"/>
  <c r="G52" i="1"/>
  <c r="H134" i="1" l="1"/>
  <c r="G134" i="1"/>
  <c r="H136" i="1"/>
  <c r="G136" i="1"/>
  <c r="P51" i="1"/>
  <c r="P55" i="1" s="1"/>
  <c r="P58" i="1" s="1"/>
  <c r="P61" i="1" s="1"/>
  <c r="P66" i="1" s="1"/>
  <c r="P70" i="1" s="1"/>
  <c r="P73" i="1" s="1"/>
  <c r="H50" i="1"/>
  <c r="G50" i="1"/>
  <c r="H223" i="1"/>
  <c r="H658" i="1"/>
  <c r="G658" i="1"/>
  <c r="H307" i="1"/>
  <c r="G307" i="1"/>
  <c r="H379" i="1"/>
  <c r="G379" i="1"/>
  <c r="H448" i="1"/>
  <c r="G448" i="1"/>
  <c r="H517" i="1"/>
  <c r="G517" i="1"/>
  <c r="H224" i="1" l="1"/>
  <c r="G224" i="1"/>
  <c r="H14" i="1" l="1"/>
  <c r="H18" i="1" s="1"/>
  <c r="H22" i="1" s="1"/>
  <c r="H26" i="1" s="1"/>
  <c r="H29" i="1" s="1"/>
  <c r="H32" i="1" s="1"/>
  <c r="H35" i="1" s="1"/>
  <c r="H38" i="1" s="1"/>
  <c r="H42" i="1" s="1"/>
  <c r="G14" i="1"/>
  <c r="H126" i="1" l="1"/>
  <c r="H128" i="1" s="1"/>
  <c r="H131" i="1" s="1"/>
  <c r="G126" i="1"/>
  <c r="G34" i="1" l="1"/>
  <c r="E135" i="1" l="1"/>
  <c r="E137" i="1" s="1"/>
  <c r="E140" i="1" s="1"/>
  <c r="E142" i="1" s="1"/>
  <c r="E145" i="1" s="1"/>
  <c r="E148" i="1" s="1"/>
  <c r="E151" i="1" s="1"/>
  <c r="E153" i="1" s="1"/>
  <c r="E155" i="1" s="1"/>
  <c r="E158" i="1" s="1"/>
  <c r="E160" i="1" s="1"/>
  <c r="E162" i="1" s="1"/>
  <c r="E165" i="1" s="1"/>
  <c r="E167" i="1" s="1"/>
  <c r="E169" i="1" s="1"/>
  <c r="E171" i="1" s="1"/>
  <c r="E173" i="1" s="1"/>
  <c r="E176" i="1" s="1"/>
  <c r="E178" i="1" s="1"/>
  <c r="E180" i="1" s="1"/>
  <c r="P225" i="1" l="1"/>
  <c r="P714" i="1" l="1"/>
  <c r="P716" i="1" s="1"/>
  <c r="H187" i="1"/>
  <c r="E187" i="1"/>
  <c r="P133" i="1" l="1"/>
  <c r="P135" i="1" s="1"/>
  <c r="P137" i="1" s="1"/>
  <c r="P140" i="1" s="1"/>
  <c r="P142" i="1" s="1"/>
  <c r="H133" i="1"/>
  <c r="H135" i="1" s="1"/>
  <c r="H137" i="1" s="1"/>
  <c r="H140" i="1" s="1"/>
  <c r="H142" i="1" s="1"/>
  <c r="H145" i="1" s="1"/>
  <c r="H148" i="1" s="1"/>
  <c r="H151" i="1" s="1"/>
  <c r="H153" i="1" s="1"/>
  <c r="H155" i="1" s="1"/>
  <c r="H158" i="1" s="1"/>
  <c r="H160" i="1" s="1"/>
  <c r="H162" i="1" s="1"/>
  <c r="H165" i="1" s="1"/>
  <c r="H167" i="1" s="1"/>
  <c r="H169" i="1" s="1"/>
  <c r="H171" i="1" s="1"/>
  <c r="H173" i="1" s="1"/>
  <c r="H176" i="1" s="1"/>
  <c r="E45" i="1"/>
  <c r="E48" i="1" s="1"/>
  <c r="E51" i="1" s="1"/>
  <c r="E55" i="1" s="1"/>
  <c r="E58" i="1" s="1"/>
  <c r="E61" i="1" s="1"/>
  <c r="E66" i="1" s="1"/>
  <c r="E70" i="1" s="1"/>
  <c r="E73" i="1" s="1"/>
  <c r="E76" i="1" s="1"/>
  <c r="H44" i="1"/>
  <c r="H45" i="1" s="1"/>
  <c r="H48" i="1" s="1"/>
  <c r="H51" i="1" s="1"/>
  <c r="H55" i="1" s="1"/>
  <c r="H58" i="1" s="1"/>
  <c r="H61" i="1" s="1"/>
  <c r="H66" i="1" s="1"/>
  <c r="H70" i="1" s="1"/>
  <c r="H73" i="1" s="1"/>
  <c r="H76" i="1" s="1"/>
  <c r="G44" i="1"/>
  <c r="H80" i="1" l="1"/>
  <c r="E80" i="1"/>
  <c r="G653" i="1"/>
  <c r="G651" i="1"/>
  <c r="G649" i="1"/>
  <c r="G647" i="1"/>
  <c r="G645" i="1"/>
  <c r="G642" i="1"/>
  <c r="G640" i="1"/>
  <c r="G638" i="1"/>
  <c r="G636" i="1"/>
  <c r="G634" i="1"/>
  <c r="H633" i="1"/>
  <c r="H635" i="1" s="1"/>
  <c r="H637" i="1" s="1"/>
  <c r="H639" i="1" s="1"/>
  <c r="H641" i="1" s="1"/>
  <c r="H644" i="1" s="1"/>
  <c r="H646" i="1" s="1"/>
  <c r="H648" i="1" s="1"/>
  <c r="H650" i="1" s="1"/>
  <c r="H652" i="1" s="1"/>
  <c r="H655" i="1" s="1"/>
  <c r="H657" i="1" s="1"/>
  <c r="H659" i="1" s="1"/>
  <c r="H661" i="1" s="1"/>
  <c r="H664" i="1" s="1"/>
  <c r="H666" i="1" s="1"/>
  <c r="H668" i="1" s="1"/>
  <c r="H670" i="1" s="1"/>
  <c r="H673" i="1" s="1"/>
  <c r="H675" i="1" s="1"/>
  <c r="H677" i="1" s="1"/>
  <c r="H679" i="1" s="1"/>
  <c r="H681" i="1" s="1"/>
  <c r="H683" i="1" s="1"/>
  <c r="H685" i="1" s="1"/>
  <c r="H687" i="1" s="1"/>
  <c r="H689" i="1" s="1"/>
  <c r="H691" i="1" s="1"/>
  <c r="H693" i="1" s="1"/>
  <c r="H695" i="1" s="1"/>
  <c r="E633" i="1"/>
  <c r="E635" i="1" s="1"/>
  <c r="E637" i="1" s="1"/>
  <c r="E639" i="1" s="1"/>
  <c r="E641" i="1" s="1"/>
  <c r="E644" i="1" s="1"/>
  <c r="E646" i="1" s="1"/>
  <c r="E648" i="1" s="1"/>
  <c r="E650" i="1" s="1"/>
  <c r="E652" i="1" s="1"/>
  <c r="E655" i="1" s="1"/>
  <c r="E657" i="1" s="1"/>
  <c r="E659" i="1" s="1"/>
  <c r="E661" i="1" s="1"/>
  <c r="E664" i="1" s="1"/>
  <c r="E666" i="1" s="1"/>
  <c r="E668" i="1" s="1"/>
  <c r="E670" i="1" s="1"/>
  <c r="E673" i="1" s="1"/>
  <c r="E675" i="1" s="1"/>
  <c r="E677" i="1" s="1"/>
  <c r="E679" i="1" s="1"/>
  <c r="E681" i="1" s="1"/>
  <c r="E683" i="1" s="1"/>
  <c r="E685" i="1" s="1"/>
  <c r="E687" i="1" s="1"/>
  <c r="E689" i="1" s="1"/>
  <c r="E691" i="1" s="1"/>
  <c r="E693" i="1" s="1"/>
  <c r="E695" i="1" s="1"/>
  <c r="E697" i="1" s="1"/>
  <c r="E699" i="1" s="1"/>
  <c r="G632" i="1"/>
  <c r="G631" i="1"/>
  <c r="G582" i="1"/>
  <c r="G580" i="1"/>
  <c r="G578" i="1"/>
  <c r="G576" i="1"/>
  <c r="G574" i="1"/>
  <c r="G571" i="1"/>
  <c r="G569" i="1"/>
  <c r="G567" i="1"/>
  <c r="G565" i="1"/>
  <c r="G563" i="1"/>
  <c r="H562" i="1"/>
  <c r="H564" i="1" s="1"/>
  <c r="H566" i="1" s="1"/>
  <c r="H568" i="1" s="1"/>
  <c r="H570" i="1" s="1"/>
  <c r="H573" i="1" s="1"/>
  <c r="H575" i="1" s="1"/>
  <c r="H577" i="1" s="1"/>
  <c r="H579" i="1" s="1"/>
  <c r="H581" i="1" s="1"/>
  <c r="H584" i="1" s="1"/>
  <c r="H586" i="1" s="1"/>
  <c r="H588" i="1" s="1"/>
  <c r="H590" i="1" s="1"/>
  <c r="H593" i="1" s="1"/>
  <c r="H595" i="1" s="1"/>
  <c r="H597" i="1" s="1"/>
  <c r="H599" i="1" s="1"/>
  <c r="H602" i="1" s="1"/>
  <c r="H604" i="1" s="1"/>
  <c r="H606" i="1" s="1"/>
  <c r="H608" i="1" s="1"/>
  <c r="H610" i="1" s="1"/>
  <c r="H612" i="1" s="1"/>
  <c r="H614" i="1" s="1"/>
  <c r="H616" i="1" s="1"/>
  <c r="H618" i="1" s="1"/>
  <c r="H620" i="1" s="1"/>
  <c r="H622" i="1" s="1"/>
  <c r="H624" i="1" s="1"/>
  <c r="H626" i="1" s="1"/>
  <c r="H628" i="1" s="1"/>
  <c r="E562" i="1"/>
  <c r="E564" i="1" s="1"/>
  <c r="E566" i="1" s="1"/>
  <c r="E568" i="1" s="1"/>
  <c r="E570" i="1" s="1"/>
  <c r="E573" i="1" s="1"/>
  <c r="E575" i="1" s="1"/>
  <c r="E577" i="1" s="1"/>
  <c r="E579" i="1" s="1"/>
  <c r="E581" i="1" s="1"/>
  <c r="E584" i="1" s="1"/>
  <c r="E586" i="1" s="1"/>
  <c r="E588" i="1" s="1"/>
  <c r="E590" i="1" s="1"/>
  <c r="E593" i="1" s="1"/>
  <c r="E595" i="1" s="1"/>
  <c r="E597" i="1" s="1"/>
  <c r="E599" i="1" s="1"/>
  <c r="E602" i="1" s="1"/>
  <c r="E604" i="1" s="1"/>
  <c r="E606" i="1" s="1"/>
  <c r="E608" i="1" s="1"/>
  <c r="E610" i="1" s="1"/>
  <c r="E612" i="1" s="1"/>
  <c r="E614" i="1" s="1"/>
  <c r="E616" i="1" s="1"/>
  <c r="E618" i="1" s="1"/>
  <c r="E620" i="1" s="1"/>
  <c r="E622" i="1" s="1"/>
  <c r="E624" i="1" s="1"/>
  <c r="E626" i="1" s="1"/>
  <c r="E628" i="1" s="1"/>
  <c r="G561" i="1"/>
  <c r="G560" i="1"/>
  <c r="G513" i="1"/>
  <c r="G511" i="1"/>
  <c r="G509" i="1"/>
  <c r="G507" i="1"/>
  <c r="G505" i="1"/>
  <c r="G502" i="1"/>
  <c r="G500" i="1"/>
  <c r="G498" i="1"/>
  <c r="G496" i="1"/>
  <c r="G494" i="1"/>
  <c r="H493" i="1"/>
  <c r="H495" i="1" s="1"/>
  <c r="H497" i="1" s="1"/>
  <c r="H499" i="1" s="1"/>
  <c r="H501" i="1" s="1"/>
  <c r="H504" i="1" s="1"/>
  <c r="H506" i="1" s="1"/>
  <c r="H508" i="1" s="1"/>
  <c r="H510" i="1" s="1"/>
  <c r="H512" i="1" s="1"/>
  <c r="H514" i="1" s="1"/>
  <c r="H516" i="1" s="1"/>
  <c r="H518" i="1" s="1"/>
  <c r="H520" i="1" s="1"/>
  <c r="H523" i="1" s="1"/>
  <c r="H525" i="1" s="1"/>
  <c r="H527" i="1" s="1"/>
  <c r="H529" i="1" s="1"/>
  <c r="H531" i="1" s="1"/>
  <c r="H533" i="1" s="1"/>
  <c r="H535" i="1" s="1"/>
  <c r="H537" i="1" s="1"/>
  <c r="H539" i="1" s="1"/>
  <c r="H541" i="1" s="1"/>
  <c r="H543" i="1" s="1"/>
  <c r="H545" i="1" s="1"/>
  <c r="H547" i="1" s="1"/>
  <c r="H549" i="1" s="1"/>
  <c r="H551" i="1" s="1"/>
  <c r="H553" i="1" s="1"/>
  <c r="H555" i="1" s="1"/>
  <c r="H557" i="1" s="1"/>
  <c r="E493" i="1"/>
  <c r="E495" i="1" s="1"/>
  <c r="E497" i="1" s="1"/>
  <c r="E499" i="1" s="1"/>
  <c r="E501" i="1" s="1"/>
  <c r="E504" i="1" s="1"/>
  <c r="E506" i="1" s="1"/>
  <c r="E508" i="1" s="1"/>
  <c r="E510" i="1" s="1"/>
  <c r="E512" i="1" s="1"/>
  <c r="E514" i="1" s="1"/>
  <c r="E516" i="1" s="1"/>
  <c r="E518" i="1" s="1"/>
  <c r="E520" i="1" s="1"/>
  <c r="E523" i="1" s="1"/>
  <c r="E525" i="1" s="1"/>
  <c r="E527" i="1" s="1"/>
  <c r="E529" i="1" s="1"/>
  <c r="E531" i="1" s="1"/>
  <c r="E533" i="1" s="1"/>
  <c r="E535" i="1" s="1"/>
  <c r="E537" i="1" s="1"/>
  <c r="E539" i="1" s="1"/>
  <c r="E541" i="1" s="1"/>
  <c r="E543" i="1" s="1"/>
  <c r="E545" i="1" s="1"/>
  <c r="E547" i="1" s="1"/>
  <c r="E549" i="1" s="1"/>
  <c r="E551" i="1" s="1"/>
  <c r="E553" i="1" s="1"/>
  <c r="E555" i="1" s="1"/>
  <c r="E557" i="1" s="1"/>
  <c r="G492" i="1"/>
  <c r="G491" i="1"/>
  <c r="G444" i="1"/>
  <c r="G442" i="1"/>
  <c r="G440" i="1"/>
  <c r="G438" i="1"/>
  <c r="G436" i="1"/>
  <c r="G434" i="1"/>
  <c r="G432" i="1"/>
  <c r="G430" i="1"/>
  <c r="G428" i="1"/>
  <c r="G426" i="1"/>
  <c r="H425" i="1"/>
  <c r="H427" i="1" s="1"/>
  <c r="H429" i="1" s="1"/>
  <c r="H431" i="1" s="1"/>
  <c r="H433" i="1" s="1"/>
  <c r="H435" i="1" s="1"/>
  <c r="H437" i="1" s="1"/>
  <c r="H439" i="1" s="1"/>
  <c r="H441" i="1" s="1"/>
  <c r="H443" i="1" s="1"/>
  <c r="H445" i="1" s="1"/>
  <c r="H447" i="1" s="1"/>
  <c r="H449" i="1" s="1"/>
  <c r="H451" i="1" s="1"/>
  <c r="H453" i="1" s="1"/>
  <c r="H455" i="1" s="1"/>
  <c r="H457" i="1" s="1"/>
  <c r="H459" i="1" s="1"/>
  <c r="H461" i="1" s="1"/>
  <c r="H463" i="1" s="1"/>
  <c r="H465" i="1" s="1"/>
  <c r="H467" i="1" s="1"/>
  <c r="H469" i="1" s="1"/>
  <c r="H471" i="1" s="1"/>
  <c r="H473" i="1" s="1"/>
  <c r="H475" i="1" s="1"/>
  <c r="H477" i="1" s="1"/>
  <c r="H479" i="1" s="1"/>
  <c r="H481" i="1" s="1"/>
  <c r="H483" i="1" s="1"/>
  <c r="E425" i="1"/>
  <c r="E427" i="1" s="1"/>
  <c r="E429" i="1" s="1"/>
  <c r="E431" i="1" s="1"/>
  <c r="E433" i="1" s="1"/>
  <c r="E435" i="1" s="1"/>
  <c r="E437" i="1" s="1"/>
  <c r="E439" i="1" s="1"/>
  <c r="E441" i="1" s="1"/>
  <c r="E443" i="1" s="1"/>
  <c r="E445" i="1" s="1"/>
  <c r="E447" i="1" s="1"/>
  <c r="E449" i="1" s="1"/>
  <c r="E451" i="1" s="1"/>
  <c r="E453" i="1" s="1"/>
  <c r="E455" i="1" s="1"/>
  <c r="E457" i="1" s="1"/>
  <c r="E459" i="1" s="1"/>
  <c r="E461" i="1" s="1"/>
  <c r="E463" i="1" s="1"/>
  <c r="E465" i="1" s="1"/>
  <c r="E467" i="1" s="1"/>
  <c r="E469" i="1" s="1"/>
  <c r="E471" i="1" s="1"/>
  <c r="E473" i="1" s="1"/>
  <c r="E475" i="1" s="1"/>
  <c r="E477" i="1" s="1"/>
  <c r="E479" i="1" s="1"/>
  <c r="E481" i="1" s="1"/>
  <c r="E483" i="1" s="1"/>
  <c r="E486" i="1" s="1"/>
  <c r="E488" i="1" s="1"/>
  <c r="G424" i="1"/>
  <c r="G423" i="1"/>
  <c r="G374" i="1"/>
  <c r="G372" i="1"/>
  <c r="G370" i="1"/>
  <c r="G368" i="1"/>
  <c r="G366" i="1"/>
  <c r="G363" i="1"/>
  <c r="G361" i="1"/>
  <c r="G359" i="1"/>
  <c r="G357" i="1"/>
  <c r="G355" i="1"/>
  <c r="H354" i="1"/>
  <c r="H356" i="1" s="1"/>
  <c r="H358" i="1" s="1"/>
  <c r="H360" i="1" s="1"/>
  <c r="H362" i="1" s="1"/>
  <c r="H365" i="1" s="1"/>
  <c r="H367" i="1" s="1"/>
  <c r="H369" i="1" s="1"/>
  <c r="H371" i="1" s="1"/>
  <c r="H373" i="1" s="1"/>
  <c r="E354" i="1"/>
  <c r="E356" i="1" s="1"/>
  <c r="E358" i="1" s="1"/>
  <c r="E360" i="1" s="1"/>
  <c r="E362" i="1" s="1"/>
  <c r="E365" i="1" s="1"/>
  <c r="E367" i="1" s="1"/>
  <c r="E369" i="1" s="1"/>
  <c r="E371" i="1" s="1"/>
  <c r="E373" i="1" s="1"/>
  <c r="E376" i="1" s="1"/>
  <c r="E378" i="1" s="1"/>
  <c r="E380" i="1" s="1"/>
  <c r="E382" i="1" s="1"/>
  <c r="E385" i="1" s="1"/>
  <c r="E387" i="1" s="1"/>
  <c r="E389" i="1" s="1"/>
  <c r="E391" i="1" s="1"/>
  <c r="G353" i="1"/>
  <c r="G352" i="1"/>
  <c r="E83" i="1" l="1"/>
  <c r="E85" i="1" s="1"/>
  <c r="E88" i="1" s="1"/>
  <c r="E90" i="1" s="1"/>
  <c r="E92" i="1" s="1"/>
  <c r="E94" i="1" s="1"/>
  <c r="E96" i="1" s="1"/>
  <c r="E99" i="1" s="1"/>
  <c r="E102" i="1" s="1"/>
  <c r="E104" i="1" s="1"/>
  <c r="H83" i="1"/>
  <c r="H85" i="1" s="1"/>
  <c r="H88" i="1" s="1"/>
  <c r="H90" i="1" s="1"/>
  <c r="H92" i="1" s="1"/>
  <c r="H94" i="1" s="1"/>
  <c r="H96" i="1" s="1"/>
  <c r="H99" i="1" s="1"/>
  <c r="H102" i="1" s="1"/>
  <c r="H104" i="1" s="1"/>
  <c r="G354" i="1"/>
  <c r="G356" i="1" s="1"/>
  <c r="G358" i="1" s="1"/>
  <c r="G360" i="1" s="1"/>
  <c r="G362" i="1" s="1"/>
  <c r="G365" i="1" s="1"/>
  <c r="G367" i="1" s="1"/>
  <c r="G369" i="1" s="1"/>
  <c r="G371" i="1" s="1"/>
  <c r="G373" i="1" s="1"/>
  <c r="G376" i="1" s="1"/>
  <c r="G378" i="1" s="1"/>
  <c r="G380" i="1" s="1"/>
  <c r="G382" i="1" s="1"/>
  <c r="G385" i="1" s="1"/>
  <c r="G387" i="1" s="1"/>
  <c r="G389" i="1" s="1"/>
  <c r="G391" i="1" s="1"/>
  <c r="G394" i="1" s="1"/>
  <c r="G396" i="1" s="1"/>
  <c r="G398" i="1" s="1"/>
  <c r="G400" i="1" s="1"/>
  <c r="G402" i="1" s="1"/>
  <c r="G404" i="1" s="1"/>
  <c r="G406" i="1" s="1"/>
  <c r="G408" i="1" s="1"/>
  <c r="G410" i="1" s="1"/>
  <c r="G412" i="1" s="1"/>
  <c r="G414" i="1" s="1"/>
  <c r="G416" i="1" s="1"/>
  <c r="G418" i="1" s="1"/>
  <c r="G420" i="1" s="1"/>
  <c r="G425" i="1"/>
  <c r="G427" i="1" s="1"/>
  <c r="G429" i="1" s="1"/>
  <c r="G431" i="1" s="1"/>
  <c r="G433" i="1" s="1"/>
  <c r="G435" i="1" s="1"/>
  <c r="G437" i="1" s="1"/>
  <c r="G439" i="1" s="1"/>
  <c r="G441" i="1" s="1"/>
  <c r="G443" i="1" s="1"/>
  <c r="G445" i="1" s="1"/>
  <c r="G447" i="1" s="1"/>
  <c r="G449" i="1" s="1"/>
  <c r="G451" i="1" s="1"/>
  <c r="G453" i="1" s="1"/>
  <c r="G455" i="1" s="1"/>
  <c r="G457" i="1" s="1"/>
  <c r="G459" i="1" s="1"/>
  <c r="G461" i="1" s="1"/>
  <c r="G463" i="1" s="1"/>
  <c r="G465" i="1" s="1"/>
  <c r="G467" i="1" s="1"/>
  <c r="G469" i="1" s="1"/>
  <c r="G471" i="1" s="1"/>
  <c r="G473" i="1" s="1"/>
  <c r="G475" i="1" s="1"/>
  <c r="G477" i="1" s="1"/>
  <c r="G479" i="1" s="1"/>
  <c r="G481" i="1" s="1"/>
  <c r="G483" i="1" s="1"/>
  <c r="G493" i="1"/>
  <c r="G495" i="1" s="1"/>
  <c r="G497" i="1" s="1"/>
  <c r="G499" i="1" s="1"/>
  <c r="G501" i="1" s="1"/>
  <c r="G504" i="1" s="1"/>
  <c r="G506" i="1" s="1"/>
  <c r="G508" i="1" s="1"/>
  <c r="G510" i="1" s="1"/>
  <c r="G512" i="1" s="1"/>
  <c r="G514" i="1" s="1"/>
  <c r="G516" i="1" s="1"/>
  <c r="G518" i="1" s="1"/>
  <c r="G520" i="1" s="1"/>
  <c r="G523" i="1" s="1"/>
  <c r="G525" i="1" s="1"/>
  <c r="G527" i="1" s="1"/>
  <c r="G529" i="1" s="1"/>
  <c r="G531" i="1" s="1"/>
  <c r="G533" i="1" s="1"/>
  <c r="G535" i="1" s="1"/>
  <c r="G537" i="1" s="1"/>
  <c r="G539" i="1" s="1"/>
  <c r="G541" i="1" s="1"/>
  <c r="G543" i="1" s="1"/>
  <c r="G545" i="1" s="1"/>
  <c r="G547" i="1" s="1"/>
  <c r="G549" i="1" s="1"/>
  <c r="G551" i="1" s="1"/>
  <c r="G553" i="1" s="1"/>
  <c r="G555" i="1" s="1"/>
  <c r="G557" i="1" s="1"/>
  <c r="G562" i="1"/>
  <c r="G564" i="1" s="1"/>
  <c r="G566" i="1" s="1"/>
  <c r="G568" i="1" s="1"/>
  <c r="G570" i="1" s="1"/>
  <c r="G573" i="1" s="1"/>
  <c r="G575" i="1" s="1"/>
  <c r="G577" i="1" s="1"/>
  <c r="G579" i="1" s="1"/>
  <c r="G581" i="1" s="1"/>
  <c r="G584" i="1" s="1"/>
  <c r="G586" i="1" s="1"/>
  <c r="G588" i="1" s="1"/>
  <c r="G590" i="1" s="1"/>
  <c r="G593" i="1" s="1"/>
  <c r="G595" i="1" s="1"/>
  <c r="G597" i="1" s="1"/>
  <c r="G599" i="1" s="1"/>
  <c r="G602" i="1" s="1"/>
  <c r="G604" i="1" s="1"/>
  <c r="G606" i="1" s="1"/>
  <c r="G608" i="1" s="1"/>
  <c r="G610" i="1" s="1"/>
  <c r="G612" i="1" s="1"/>
  <c r="G614" i="1" s="1"/>
  <c r="G616" i="1" s="1"/>
  <c r="G618" i="1" s="1"/>
  <c r="G620" i="1" s="1"/>
  <c r="G622" i="1" s="1"/>
  <c r="G624" i="1" s="1"/>
  <c r="G626" i="1" s="1"/>
  <c r="G628" i="1" s="1"/>
  <c r="G633" i="1"/>
  <c r="G635" i="1" s="1"/>
  <c r="G637" i="1" s="1"/>
  <c r="G639" i="1" s="1"/>
  <c r="G641" i="1" s="1"/>
  <c r="G644" i="1" s="1"/>
  <c r="G646" i="1" s="1"/>
  <c r="G648" i="1" s="1"/>
  <c r="G650" i="1" s="1"/>
  <c r="G652" i="1" s="1"/>
  <c r="G655" i="1" s="1"/>
  <c r="G657" i="1" s="1"/>
  <c r="G659" i="1" s="1"/>
  <c r="G661" i="1" s="1"/>
  <c r="G664" i="1" s="1"/>
  <c r="G666" i="1" s="1"/>
  <c r="G668" i="1" s="1"/>
  <c r="G670" i="1" s="1"/>
  <c r="G673" i="1" s="1"/>
  <c r="G675" i="1" s="1"/>
  <c r="G677" i="1" s="1"/>
  <c r="G679" i="1" s="1"/>
  <c r="G681" i="1" s="1"/>
  <c r="G683" i="1" s="1"/>
  <c r="G685" i="1" s="1"/>
  <c r="G687" i="1" s="1"/>
  <c r="G689" i="1" s="1"/>
  <c r="G691" i="1" s="1"/>
  <c r="G693" i="1" s="1"/>
  <c r="G695" i="1" s="1"/>
  <c r="H376" i="1"/>
  <c r="H378" i="1" s="1"/>
  <c r="H380" i="1" s="1"/>
  <c r="H382" i="1" s="1"/>
  <c r="H385" i="1" s="1"/>
  <c r="H387" i="1" s="1"/>
  <c r="H389" i="1" s="1"/>
  <c r="H391" i="1" s="1"/>
  <c r="H394" i="1" s="1"/>
  <c r="H396" i="1" s="1"/>
  <c r="H398" i="1" s="1"/>
  <c r="H400" i="1" s="1"/>
  <c r="H402" i="1" s="1"/>
  <c r="H404" i="1" s="1"/>
  <c r="H406" i="1" s="1"/>
  <c r="H408" i="1" s="1"/>
  <c r="H410" i="1" s="1"/>
  <c r="H412" i="1" s="1"/>
  <c r="H414" i="1" s="1"/>
  <c r="H416" i="1" s="1"/>
  <c r="H418" i="1" s="1"/>
  <c r="H420" i="1" s="1"/>
  <c r="G302" i="1"/>
  <c r="G300" i="1"/>
  <c r="G298" i="1" l="1"/>
  <c r="G296" i="1"/>
  <c r="G294" i="1"/>
  <c r="G291" i="1"/>
  <c r="G289" i="1"/>
  <c r="G287" i="1"/>
  <c r="G285" i="1"/>
  <c r="H282" i="1"/>
  <c r="H284" i="1" s="1"/>
  <c r="H286" i="1" s="1"/>
  <c r="H288" i="1" s="1"/>
  <c r="H290" i="1" s="1"/>
  <c r="H293" i="1" s="1"/>
  <c r="H295" i="1" s="1"/>
  <c r="H297" i="1" s="1"/>
  <c r="H299" i="1" s="1"/>
  <c r="H301" i="1" s="1"/>
  <c r="H304" i="1" s="1"/>
  <c r="H306" i="1" s="1"/>
  <c r="H308" i="1" s="1"/>
  <c r="H310" i="1" s="1"/>
  <c r="H313" i="1" s="1"/>
  <c r="H315" i="1" s="1"/>
  <c r="H317" i="1" s="1"/>
  <c r="H319" i="1" s="1"/>
  <c r="H322" i="1" s="1"/>
  <c r="H324" i="1" s="1"/>
  <c r="H326" i="1" s="1"/>
  <c r="E282" i="1"/>
  <c r="E284" i="1" s="1"/>
  <c r="E286" i="1" s="1"/>
  <c r="E288" i="1" s="1"/>
  <c r="E290" i="1" s="1"/>
  <c r="E293" i="1" s="1"/>
  <c r="E295" i="1" s="1"/>
  <c r="E297" i="1" s="1"/>
  <c r="E299" i="1" s="1"/>
  <c r="E301" i="1" s="1"/>
  <c r="E304" i="1" s="1"/>
  <c r="E306" i="1" s="1"/>
  <c r="E308" i="1" s="1"/>
  <c r="E310" i="1" s="1"/>
  <c r="E313" i="1" s="1"/>
  <c r="E315" i="1" s="1"/>
  <c r="E317" i="1" s="1"/>
  <c r="E319" i="1" s="1"/>
  <c r="G281" i="1"/>
  <c r="G280" i="1"/>
  <c r="G217" i="1"/>
  <c r="H217" i="1" s="1"/>
  <c r="G218" i="1"/>
  <c r="G216" i="1"/>
  <c r="G214" i="1"/>
  <c r="G213" i="1"/>
  <c r="G211" i="1"/>
  <c r="G210" i="1"/>
  <c r="G208" i="1"/>
  <c r="G207" i="1"/>
  <c r="G205" i="1"/>
  <c r="G204" i="1"/>
  <c r="G202" i="1"/>
  <c r="G200" i="1"/>
  <c r="G198" i="1"/>
  <c r="G197" i="1"/>
  <c r="G195" i="1"/>
  <c r="G194" i="1"/>
  <c r="G192" i="1"/>
  <c r="G191" i="1"/>
  <c r="E190" i="1"/>
  <c r="E193" i="1" s="1"/>
  <c r="E196" i="1" s="1"/>
  <c r="E199" i="1" s="1"/>
  <c r="E203" i="1" s="1"/>
  <c r="E206" i="1" s="1"/>
  <c r="E209" i="1" s="1"/>
  <c r="E212" i="1" s="1"/>
  <c r="E215" i="1" s="1"/>
  <c r="E219" i="1" s="1"/>
  <c r="E222" i="1" s="1"/>
  <c r="E225" i="1" s="1"/>
  <c r="E228" i="1" s="1"/>
  <c r="E232" i="1" s="1"/>
  <c r="E235" i="1" s="1"/>
  <c r="E238" i="1" s="1"/>
  <c r="G189" i="1"/>
  <c r="G188" i="1"/>
  <c r="H190" i="1"/>
  <c r="H193" i="1" s="1"/>
  <c r="H196" i="1" s="1"/>
  <c r="H199" i="1" s="1"/>
  <c r="H203" i="1" s="1"/>
  <c r="H206" i="1" s="1"/>
  <c r="H209" i="1" s="1"/>
  <c r="H212" i="1" s="1"/>
  <c r="H215" i="1" s="1"/>
  <c r="G184" i="1"/>
  <c r="G183" i="1"/>
  <c r="G129" i="1"/>
  <c r="G127" i="1"/>
  <c r="G128" i="1" s="1"/>
  <c r="G123" i="1"/>
  <c r="G121" i="1"/>
  <c r="G118" i="1"/>
  <c r="G116" i="1"/>
  <c r="G114" i="1"/>
  <c r="G40" i="1"/>
  <c r="G41" i="1"/>
  <c r="G39" i="1"/>
  <c r="G37" i="1"/>
  <c r="G36" i="1"/>
  <c r="G31" i="1"/>
  <c r="G30" i="1"/>
  <c r="G28" i="1"/>
  <c r="G27" i="1"/>
  <c r="G24" i="1"/>
  <c r="G23" i="1"/>
  <c r="G20" i="1"/>
  <c r="G19" i="1"/>
  <c r="G16" i="1"/>
  <c r="G15" i="1"/>
  <c r="E241" i="1" l="1"/>
  <c r="E245" i="1" s="1"/>
  <c r="E248" i="1" s="1"/>
  <c r="E251" i="1" s="1"/>
  <c r="G282" i="1"/>
  <c r="G284" i="1" s="1"/>
  <c r="G286" i="1" s="1"/>
  <c r="G288" i="1" s="1"/>
  <c r="G290" i="1" s="1"/>
  <c r="G293" i="1" s="1"/>
  <c r="G295" i="1" s="1"/>
  <c r="G297" i="1" s="1"/>
  <c r="G299" i="1" s="1"/>
  <c r="G301" i="1" s="1"/>
  <c r="G304" i="1" s="1"/>
  <c r="G306" i="1" s="1"/>
  <c r="G308" i="1" s="1"/>
  <c r="G310" i="1" s="1"/>
  <c r="G313" i="1" s="1"/>
  <c r="G315" i="1" s="1"/>
  <c r="G317" i="1" s="1"/>
  <c r="G319" i="1" s="1"/>
  <c r="G322" i="1" s="1"/>
  <c r="G324" i="1" s="1"/>
  <c r="G326" i="1" s="1"/>
  <c r="G328" i="1" s="1"/>
  <c r="G330" i="1" s="1"/>
  <c r="G332" i="1" s="1"/>
  <c r="G334" i="1" s="1"/>
  <c r="G336" i="1" s="1"/>
  <c r="G338" i="1" s="1"/>
  <c r="G340" i="1" s="1"/>
  <c r="G342" i="1" s="1"/>
  <c r="G344" i="1" s="1"/>
  <c r="G18" i="1"/>
  <c r="G22" i="1" s="1"/>
  <c r="G26" i="1" s="1"/>
  <c r="G29" i="1" s="1"/>
  <c r="G32" i="1" s="1"/>
  <c r="G35" i="1" s="1"/>
  <c r="G38" i="1" s="1"/>
  <c r="G42" i="1" s="1"/>
  <c r="G45" i="1" s="1"/>
  <c r="G48" i="1" s="1"/>
  <c r="G51" i="1" s="1"/>
  <c r="G55" i="1" s="1"/>
  <c r="G58" i="1" s="1"/>
  <c r="G61" i="1" s="1"/>
  <c r="G131" i="1"/>
  <c r="G133" i="1" s="1"/>
  <c r="G135" i="1" s="1"/>
  <c r="G137" i="1" s="1"/>
  <c r="G140" i="1" s="1"/>
  <c r="G142" i="1" s="1"/>
  <c r="G145" i="1" s="1"/>
  <c r="G148" i="1" s="1"/>
  <c r="G151" i="1" s="1"/>
  <c r="G153" i="1" s="1"/>
  <c r="G155" i="1" s="1"/>
  <c r="G187" i="1"/>
  <c r="G190" i="1" s="1"/>
  <c r="G193" i="1" s="1"/>
  <c r="G196" i="1" s="1"/>
  <c r="G199" i="1" s="1"/>
  <c r="G203" i="1" s="1"/>
  <c r="G206" i="1" s="1"/>
  <c r="G209" i="1" s="1"/>
  <c r="G212" i="1" s="1"/>
  <c r="G215" i="1" s="1"/>
  <c r="G219" i="1" s="1"/>
  <c r="G222" i="1" s="1"/>
  <c r="G225" i="1" s="1"/>
  <c r="H219" i="1"/>
  <c r="H222" i="1" s="1"/>
  <c r="P581" i="1"/>
  <c r="P512" i="1"/>
  <c r="P443" i="1"/>
  <c r="P301" i="1"/>
  <c r="P215" i="1"/>
  <c r="E254" i="1" l="1"/>
  <c r="G158" i="1"/>
  <c r="G228" i="1"/>
  <c r="G232" i="1" s="1"/>
  <c r="G235" i="1" s="1"/>
  <c r="G238" i="1" s="1"/>
  <c r="H225" i="1"/>
  <c r="P126" i="1"/>
  <c r="E257" i="1" l="1"/>
  <c r="E260" i="1" s="1"/>
  <c r="E262" i="1" s="1"/>
  <c r="E264" i="1" s="1"/>
  <c r="E266" i="1" s="1"/>
  <c r="E268" i="1" s="1"/>
  <c r="E270" i="1" s="1"/>
  <c r="E272" i="1" s="1"/>
  <c r="E275" i="1" s="1"/>
  <c r="E277" i="1" s="1"/>
  <c r="G160" i="1"/>
  <c r="G162" i="1" s="1"/>
  <c r="G165" i="1" s="1"/>
  <c r="G167" i="1" s="1"/>
  <c r="G169" i="1" s="1"/>
  <c r="G171" i="1" s="1"/>
  <c r="G173" i="1" s="1"/>
  <c r="G241" i="1"/>
  <c r="G245" i="1" s="1"/>
  <c r="G248" i="1" s="1"/>
  <c r="H228" i="1"/>
  <c r="H232" i="1" s="1"/>
  <c r="H235" i="1" s="1"/>
  <c r="H238" i="1" s="1"/>
  <c r="G251" i="1" l="1"/>
  <c r="H241" i="1"/>
  <c r="H245" i="1" s="1"/>
  <c r="H248" i="1" s="1"/>
  <c r="H251" i="1" s="1"/>
  <c r="H704" i="1"/>
  <c r="H706" i="1" s="1"/>
  <c r="H708" i="1" s="1"/>
  <c r="G704" i="1"/>
  <c r="G706" i="1" s="1"/>
  <c r="G708" i="1" s="1"/>
  <c r="E704" i="1"/>
  <c r="E706" i="1" s="1"/>
  <c r="E708" i="1" s="1"/>
  <c r="H254" i="1" l="1"/>
  <c r="G254" i="1"/>
  <c r="G710" i="1"/>
  <c r="G712" i="1" s="1"/>
  <c r="G714" i="1" s="1"/>
  <c r="E710" i="1"/>
  <c r="E712" i="1" s="1"/>
  <c r="E714" i="1" s="1"/>
  <c r="H710" i="1"/>
  <c r="H712" i="1" s="1"/>
  <c r="H714" i="1" s="1"/>
  <c r="G257" i="1" l="1"/>
  <c r="G260" i="1" s="1"/>
  <c r="G262" i="1" s="1"/>
  <c r="G264" i="1" s="1"/>
  <c r="G266" i="1" s="1"/>
  <c r="G268" i="1" s="1"/>
  <c r="G270" i="1" s="1"/>
  <c r="G272" i="1" s="1"/>
  <c r="G275" i="1" s="1"/>
  <c r="G277" i="1" s="1"/>
  <c r="H257" i="1"/>
  <c r="H260" i="1" s="1"/>
  <c r="H262" i="1" s="1"/>
  <c r="H264" i="1" s="1"/>
  <c r="H266" i="1" s="1"/>
  <c r="H268" i="1" s="1"/>
  <c r="H270" i="1" s="1"/>
  <c r="H272" i="1" s="1"/>
  <c r="H275" i="1" s="1"/>
  <c r="H277" i="1" s="1"/>
</calcChain>
</file>

<file path=xl/sharedStrings.xml><?xml version="1.0" encoding="utf-8"?>
<sst xmlns="http://schemas.openxmlformats.org/spreadsheetml/2006/main" count="1525" uniqueCount="259">
  <si>
    <t>РИОСВ</t>
  </si>
  <si>
    <t>ВРАЦА</t>
  </si>
  <si>
    <t xml:space="preserve"> № по ред</t>
  </si>
  <si>
    <t>Вид на депото (Регионално или Общинско) и наименование</t>
  </si>
  <si>
    <t>Община</t>
  </si>
  <si>
    <t xml:space="preserve">Количество депонирани отпадъци </t>
  </si>
  <si>
    <t>месец</t>
  </si>
  <si>
    <t>количество (т)</t>
  </si>
  <si>
    <t>Размер на отчисленията по чл. 60 (лв./тон)</t>
  </si>
  <si>
    <t>Постъпили в сметката на РИОСВ отчисления</t>
  </si>
  <si>
    <t xml:space="preserve"> по чл. 60 от ЗУО (лв.)</t>
  </si>
  <si>
    <t>по чл. 64 от  ЗУО (лв.)</t>
  </si>
  <si>
    <t>Следва да постъпят в сметката на РИОСВ отчисления по чл. 60 от ЗУО (лв.)</t>
  </si>
  <si>
    <t>Следва да постъпят в сметката на РИОСВ отчисления по чл. 64 от ЗУО (лв.)</t>
  </si>
  <si>
    <t>Обща сума на отчисленията, които следва да постъпят</t>
  </si>
  <si>
    <t>Остава да постъпят по чл.  60 (лв.)</t>
  </si>
  <si>
    <t>Остава да постъпят по чл.  64 (лв.)</t>
  </si>
  <si>
    <t>Дължима лихва за отчисленията по чл. 20 от Наредба № 7</t>
  </si>
  <si>
    <t>Натрупана лихва за отчисленията по чл. 64 от ЗУО</t>
  </si>
  <si>
    <t>Изразходени средства (лв.)</t>
  </si>
  <si>
    <t>Депонирани количества неопасни отпадъци, за които отчисленията по чл. 20 от Наредба № 7 се увеличават с 15 на сто</t>
  </si>
  <si>
    <t>Дължими отчисления по чл. 20, ал. 3 от Наредбата № 7 (лв.)</t>
  </si>
  <si>
    <t>РДНО - Враца, Мездра</t>
  </si>
  <si>
    <t>Общо за периода от 2011 до2013 г.</t>
  </si>
  <si>
    <t>Общо за периода от 2011 до 2014 г.</t>
  </si>
  <si>
    <t>Общо за периода от 2011 до 2012 г.</t>
  </si>
  <si>
    <t>Общо за периода от 2011 до 2015 г.</t>
  </si>
  <si>
    <t>Фирми Враца</t>
  </si>
  <si>
    <t>Писмо Вх. № И-11/26.01.2016 г. на общ. Враца прехвърлени средства от чл. 60 в чл. 64</t>
  </si>
  <si>
    <t>I трим. 2016 г.</t>
  </si>
  <si>
    <t>Общо за периода от 2011 г. до I трим. 2016 г.</t>
  </si>
  <si>
    <t>II трим. 2016 г.</t>
  </si>
  <si>
    <t>Общо за периода от 2011 г. до II трим. 2016 г.</t>
  </si>
  <si>
    <t>III трим. 2016 г.</t>
  </si>
  <si>
    <t>IV трим. 2016 г.</t>
  </si>
  <si>
    <t>Общо за периода от 2011 г. до III трим. 2016 г.</t>
  </si>
  <si>
    <t>Общо за периода от 2011 г. до IV трим. 2016 г.</t>
  </si>
  <si>
    <t>Да изчистим България-Враца</t>
  </si>
  <si>
    <t>Общо за периода от 2011 до 2013 г.</t>
  </si>
  <si>
    <t>Да изчистим България-Мездра</t>
  </si>
  <si>
    <t>РДНО -Оряхово</t>
  </si>
  <si>
    <t>Община Оряхово</t>
  </si>
  <si>
    <t>Община Мизия</t>
  </si>
  <si>
    <t>Да изчистим България-Оряхово</t>
  </si>
  <si>
    <t>Община Козлодуй</t>
  </si>
  <si>
    <t>Да изчистим България-Мизия</t>
  </si>
  <si>
    <t>Да изчистим България-Козлодуй</t>
  </si>
  <si>
    <t>Община Бяла Слатина</t>
  </si>
  <si>
    <t>Община Кнежа</t>
  </si>
  <si>
    <t>Община Борован</t>
  </si>
  <si>
    <t>Община Хайредин</t>
  </si>
  <si>
    <t>Общинско депо - Роман</t>
  </si>
  <si>
    <t>Община Роман</t>
  </si>
  <si>
    <t>Да изчистим България-Хайредин</t>
  </si>
  <si>
    <t>Да изчистим България-Кнежа</t>
  </si>
  <si>
    <t xml:space="preserve">168 103,94 лв.  
</t>
  </si>
  <si>
    <t>Забележки</t>
  </si>
  <si>
    <t>I трим. 2017 г.</t>
  </si>
  <si>
    <t>Общо за периода от 2011 г. до I трим. 2017 г.</t>
  </si>
  <si>
    <t>Oбщина Мездра</t>
  </si>
  <si>
    <t>Oбщина Враца</t>
  </si>
  <si>
    <t>II трим. 2017 г.</t>
  </si>
  <si>
    <t xml:space="preserve">Забележка: С писмо с Вх. № В-2755 от 06.10.2016 г. oт. 07.07.2016 г. БО на Община Роман се депонират на РДНО - Луковит. Отчисленията по чл. 60 и 64 от ЗУО се заплащат в РИОСВ - Плевен.                  
</t>
  </si>
  <si>
    <t>Общо за периода от 2011 г. до II трим. 2017 г.</t>
  </si>
  <si>
    <t>III трим. 2017 г.</t>
  </si>
  <si>
    <t>Общо за периода от 2011 г. до III трим. 2017 г.</t>
  </si>
  <si>
    <t>Фирми Оряхово</t>
  </si>
  <si>
    <t>Общо за периода от 2011 г. до III трим. 2017г.</t>
  </si>
  <si>
    <t>Да изчистим Бълагрия-Борован</t>
  </si>
  <si>
    <t>Общо за периода от 2011 г. до IV трим. 2017 г.</t>
  </si>
  <si>
    <t>IV трим. 2017 г.</t>
  </si>
  <si>
    <t>I трим. 2018 г.</t>
  </si>
  <si>
    <t>Общо за периода от 2011 г. до I трим. 2018 г.</t>
  </si>
  <si>
    <t>II трим. 2018 г.</t>
  </si>
  <si>
    <t>Общо за периода от 2011 г. до II трим. 2018 г.</t>
  </si>
  <si>
    <t>писмо с вх. № В-1295/04.09.2017 г. върнати 97 800,00 от освободените през 2-ро трим.</t>
  </si>
  <si>
    <t>III трим. 2018 г.</t>
  </si>
  <si>
    <t>Общо за периода от 2011 г. до III трим. 2018 г.</t>
  </si>
  <si>
    <t>IV трим. 2018 г.</t>
  </si>
  <si>
    <t>Общо за периода от 2011 г. до IV трим. 2018 г.</t>
  </si>
  <si>
    <t xml:space="preserve"> IV трим. 2018 г.</t>
  </si>
  <si>
    <t>Общо за периода от 2011 г. до I трим. 2019 г.</t>
  </si>
  <si>
    <t>I трим. 2019 г.</t>
  </si>
  <si>
    <t xml:space="preserve"> I трим. 2019 г.</t>
  </si>
  <si>
    <t>II трим. 2019 г.</t>
  </si>
  <si>
    <t>II  трим. 2019 г.</t>
  </si>
  <si>
    <t>Общо за периода от 2011 г. до II трим. 2019 г.</t>
  </si>
  <si>
    <t xml:space="preserve">Корекция за м.март </t>
  </si>
  <si>
    <t>Възстановени от ОПОС 2014-2020</t>
  </si>
  <si>
    <t>III трим. 2019 г.</t>
  </si>
  <si>
    <t>Общо за периода от 2011 г. до III трим. 2019 г.</t>
  </si>
  <si>
    <t> 8,380</t>
  </si>
  <si>
    <t> 3,580 </t>
  </si>
  <si>
    <t>IV трим. 2019 г.</t>
  </si>
  <si>
    <t>Общо за периода от 2011 г. до IV трим. 2019 г.</t>
  </si>
  <si>
    <t xml:space="preserve"> IV трим. 2019 г.</t>
  </si>
  <si>
    <t>I трим. 2020 г.</t>
  </si>
  <si>
    <t>Общо за периода от 2011 г. до I трим. 2020 г.</t>
  </si>
  <si>
    <t xml:space="preserve"> I трим. 2020 г.</t>
  </si>
  <si>
    <t>* oт 01.01-22.03.20 г. са депонирани 132,360 т. отпадък с р-р на отчисленията по чл. 64 от ЗУО - 95,00 лв.; от 23.03 до 31.03.20 г. са депонирани 20,560 т. отпадък с р-р на отчисленията по чл. 64 от ЗУО - 69,00 лв.</t>
  </si>
  <si>
    <t>* oт 01.01-22.03.20 г. са депонирани 173,880 т. отпадък с р-р на отчисленията по чл. 64 от ЗУО - 95,00 лв.; от 23.03 до 31.03.20 г. са депонирани 24,940 т. отпадък с р-р на отчисленията по чл. 64 от ЗУО - 69,00 лв.</t>
  </si>
  <si>
    <t>* oт 01.01-22.03.20 г. са депонирани 695,800 т. отпадък с р-р на отчисленията по чл. 64 от ЗУО - 95,00 лв.; от 23.03 до 31.03.20 г. са депонирани 100,240 т. отпадък с р-р на отчисленията по чл. 64 от ЗУО - 69,00 лв.</t>
  </si>
  <si>
    <t>* oт 01.01-22.03.20 г. са депонирани 888,280 т. отпадък с р-р на отчисленията по чл. 64 от ЗУО - 95,00 лв.; от 23.03 до 31.03.20 г. са депонирани 124,360 т. отпадък с р-р на отчисленията по чл. 64 от ЗУО - 69,00 лв.</t>
  </si>
  <si>
    <t>* oт 01.01-22.03.20 г. са депонирани 1381,060 т. отпадък с р-р на отчисленията по чл. 64 от ЗУО - 95,00 лв.; от 23.03 до 31.03.20 г. са депонирани 208,260 т. отпадък с р-р на отчисленията по чл. 64 от ЗУО - 69,00 лв.</t>
  </si>
  <si>
    <t>* oт 01.01-22.03.20 г. са депонирани 410,380 т. отпадък с р-р на отчисленията по чл. 64 от ЗУО - 95,00 лв.; от 23.03 до 31.03.20 г. са депонирани 62,320 т. отпадък с р-р на отчисленията по чл. 64 от ЗУО - 69,00 лв.</t>
  </si>
  <si>
    <t>* oт 01.01-22.03.20 г. са депонирани 308,700 т. отпадък с р-р на отчисленията по чл. 64 от ЗУО - 95,00 лв.; от 23.03 до 31.03.20 г. са депонирани 47,100 т. отпадък с р-р на отчисленията по чл. 64 от ЗУО - 69,00 лв.</t>
  </si>
  <si>
    <t>* oт 01.01-22.03.20 г. са депонирани 726,045 т. отпадък с р-р на отчисленията по чл. 64 от ЗУО - 95,00 лв.; от 23.03 до 31.03.20 г. са депонирани 82,811 т. отпадък с р-р на отчисленията по чл. 64 от ЗУО - 69,00 лв.</t>
  </si>
  <si>
    <t>* oт 01.01-22.03.20 г. са депонирани 2732,375 т. отпадък с р-р на отчисленията по чл. 64 от ЗУО - 95,00 лв.; от 23.03 до 31.03.20 г. са депонирани 328,129 т. отпадък с р-р на отчисленията по чл. 64 от ЗУО - 69,00 лв.</t>
  </si>
  <si>
    <t>* oт 01.01-22.03.20 г. са депонирани 218,840 т. отпадък с р-р на отчисленията по чл. 64 от ЗУО - 95,00 лв.; от 23.03 до 31.03.20 г. са депонирани 7,780 т. отпадък с р-р на отчисленията по чл. 64 от ЗУО - 69,00 лв.</t>
  </si>
  <si>
    <t>12 489,74  лв.                   по чл. 60</t>
  </si>
  <si>
    <t>379 972,24 лв. по чл. 64;12 489,74 лв по чл. 60</t>
  </si>
  <si>
    <t>212 952,16 лв. по чл. 64; 8458,03 лв. по чл. 60</t>
  </si>
  <si>
    <t>753 751,83 лв. по чл. 64; 35502,08 лв. по чл. 60</t>
  </si>
  <si>
    <t>35 502,08 лв. по чл.60</t>
  </si>
  <si>
    <t>12 312,64 лв. по чл. 60</t>
  </si>
  <si>
    <t>517 956,09 лв. по  чл. 64; 12 312,64 лв. по чл. 60</t>
  </si>
  <si>
    <t>16802,31 лв. по чл. 60</t>
  </si>
  <si>
    <t>550 795,21 лв. по чл. 64; 16802,31 по чл. 60</t>
  </si>
  <si>
    <t>1426,76 лв. по чл. 60</t>
  </si>
  <si>
    <t>II трим. 2020 г.</t>
  </si>
  <si>
    <t>Общо за периода от 2011 г. до II трим. 2020 г.</t>
  </si>
  <si>
    <t>14 999,00 лв. по чл. 64                           24 486,17 лв. по чл. 60</t>
  </si>
  <si>
    <t>16 582,18 лв. по чл. 60</t>
  </si>
  <si>
    <t>69 602,70 лв. по чл. 60</t>
  </si>
  <si>
    <t>24 139,23 лв. по чл. 60</t>
  </si>
  <si>
    <t>32 941,35 лв. по  чл. 60</t>
  </si>
  <si>
    <t>3 422,53 лв. по чл. 60</t>
  </si>
  <si>
    <t>123 104,21 по чл. 64; 3 422,53 по чл. 60</t>
  </si>
  <si>
    <t>6 709,94 лв. по чл. 60</t>
  </si>
  <si>
    <t>2 797,21 лв. по чл. 60</t>
  </si>
  <si>
    <t>Възстановени от ОПОС</t>
  </si>
  <si>
    <t>8 458,03 лв. по чл. 60</t>
  </si>
  <si>
    <t>394 971,24  лв. по чл. 64; 36 975,91 лв. по чл 60</t>
  </si>
  <si>
    <t>30 226,14 лв</t>
  </si>
  <si>
    <t>71 332,83 лв. по чл. 64; 1 426,76 по чл. 60</t>
  </si>
  <si>
    <t>71 332,83 лв. по чл. 64; 4 223,97 лв. по чл. 60</t>
  </si>
  <si>
    <t>123 104,21 лв. по чл. 64; 10 132,47 лв. по чл. 60</t>
  </si>
  <si>
    <t>550 795,21 лв. по чл. 64; 49 743,66 лв. по чл. 60</t>
  </si>
  <si>
    <t>25 040,21 лв. по чл. 60; 212 952,16 лв. по чл. 64</t>
  </si>
  <si>
    <t>III трим. 2020 г.</t>
  </si>
  <si>
    <t>Общо за периода от 2011 г. до III трим. 2020 г.</t>
  </si>
  <si>
    <t>105 104,78 лв. по чл. 60; 753 751,83 лв. по чл. 64;</t>
  </si>
  <si>
    <t>105 104,78 лв. по чл. 60; 901 279,83 лв. по чл. 64;</t>
  </si>
  <si>
    <t>86 558,90 лв. по чл. 64; 4 223,97 лв. по чл. 60</t>
  </si>
  <si>
    <t>IV трим. 2020 г.</t>
  </si>
  <si>
    <t>Общо за периода от 2011 г. до IV трим. 2020 г.</t>
  </si>
  <si>
    <t>23 851,64 лв. по чл. 60</t>
  </si>
  <si>
    <t>394 971,24 лв. по чл. 64; 60 827,55 лв. по чл. 60</t>
  </si>
  <si>
    <t>16 171,75 лв. по чл. 60</t>
  </si>
  <si>
    <t>41 211,96 лв. по чл. 60; 212 952,16 лв. по чл. 64</t>
  </si>
  <si>
    <t>36 451,87 лв. по чл. 60; 558 899,37 лв. по  чл. 64</t>
  </si>
  <si>
    <t>36 451,87 лв. по чл. 60; 517 956,09 лв. по  чл. 64</t>
  </si>
  <si>
    <t>23 541,77 лв. по чл. 60</t>
  </si>
  <si>
    <t>59 993,64 лв. по чл. 60; 558 899,37 лв. по  чл. 64</t>
  </si>
  <si>
    <t>32 126,01 лв. по чл. 60</t>
  </si>
  <si>
    <t>550 795,21 лв. по чл. 64; 81 869,67 лв. по чл. 60</t>
  </si>
  <si>
    <t>7 800,00 лв. по чл. 64; 6 543,87 лв. по чл. 60</t>
  </si>
  <si>
    <t>2 727,97 лв. по чл. 60</t>
  </si>
  <si>
    <t>147 528,00 лв. по чл. 64</t>
  </si>
  <si>
    <t>40 943,28 лв. по чл. 64</t>
  </si>
  <si>
    <t>15 226,07 лв. по чл. 64</t>
  </si>
  <si>
    <t>67 879,97 лв. по чл. 60</t>
  </si>
  <si>
    <t>172 984,75 лв. по чл. 60; 901 279,83 лв. по чл. 64;</t>
  </si>
  <si>
    <t>130 904,21 лв. по чл. 64; 16 676,34 лв. по чл. 60</t>
  </si>
  <si>
    <t>86 558,90 лв. по чл. 64; 6 951,94 лв. по чл. 60</t>
  </si>
  <si>
    <t>I трим. 2021 г.</t>
  </si>
  <si>
    <t>II трим. 2021 г.</t>
  </si>
  <si>
    <t>Общо за периода от 2011 г. до I трим. 2021 г.</t>
  </si>
  <si>
    <t>Общо за периода от 2011 г. до II трим. 2021 г.</t>
  </si>
  <si>
    <t xml:space="preserve"> I трим. 2021 г.</t>
  </si>
  <si>
    <t>Oбщина Враца + фирми</t>
  </si>
  <si>
    <t>17 988,85 лв. по чл. 60; 427 013,93 лв. по чл. 64</t>
  </si>
  <si>
    <t>17 988,85 лв. по чл. 60; 1648916,95 лв. по чл. 64</t>
  </si>
  <si>
    <t>Община Оряхово +фирми</t>
  </si>
  <si>
    <t>6 275,30 лв. по чл. 60; 212 413,41 лв. по чл. 64</t>
  </si>
  <si>
    <t>67 102,85 лв. по чл. 60; 607 384,65 лв. по чл. 64</t>
  </si>
  <si>
    <t>5 778,98 л.в по чл. 60; 73 436,04 лв. по чл. 64</t>
  </si>
  <si>
    <t>46 990,94 лв. по чл. 60; 286 388,20 лв. по чл. 64</t>
  </si>
  <si>
    <t>24 547,15 лв. по чл. 60; 756 400,07 лв. по чл. 64</t>
  </si>
  <si>
    <t>197 531,90 лв. по чл. 60; 1 657 679,90 лв. по чл. 64</t>
  </si>
  <si>
    <t>16 081,91 лв. по чл. 60; 474 161,93 лв. по чл. 64</t>
  </si>
  <si>
    <t>76 075,55 лв. по чл. 60; 1 033 061,30 лв. по чл. 64</t>
  </si>
  <si>
    <t>13 088,88 лв. по чл. 60; 509 823,99 лв. по чл. 64</t>
  </si>
  <si>
    <t>94 958,55 лв. по чл. 60; 1 060 619,20 лв. по чл. 64</t>
  </si>
  <si>
    <t>3394,50 лв. по чл. 60; 43 127,12 лв. по чл. 64</t>
  </si>
  <si>
    <t>20 070,84 лв. по чл. 60; 174 031,33 лв. по чл. 64</t>
  </si>
  <si>
    <t>2 728,43 лв. по чл. 60; 34 512,06 лв. по чл. 64</t>
  </si>
  <si>
    <t>9 680,37 лв. по чл. 60; 121 070,96 лв. по  чл. 64</t>
  </si>
  <si>
    <t>Общо за периода от 2011 г. до  трим. 2021 г.</t>
  </si>
  <si>
    <t>76 473,32 лв. по чл. 64</t>
  </si>
  <si>
    <t>76 075,55 лв. по чл. 60; 1 109 534,62 лв. по чл. 64</t>
  </si>
  <si>
    <t xml:space="preserve"> 66 658,66 лв. по чл. 60; 1 433 164,89 лв. по чл. 64</t>
  </si>
  <si>
    <t>66 658,66 лв. по чл. 60; 5 020 476,03 лв. по чл. 64</t>
  </si>
  <si>
    <t>Възстановени по ОПОС</t>
  </si>
  <si>
    <t>17 988,85 лв. по чл. 60; 1 648 916,95 лв. по чл. 64</t>
  </si>
  <si>
    <t>ІII трим. 2021 г.</t>
  </si>
  <si>
    <t>Общо за периода от 2011 г. до ІII трим. 2021 г.</t>
  </si>
  <si>
    <t>67 102,85 лв. по чл. 60; 631 884,65 лв. по чл. 64</t>
  </si>
  <si>
    <t>24 500,00 лв. по чл. 64</t>
  </si>
  <si>
    <t>23 000,00 лв. по чл. 64</t>
  </si>
  <si>
    <t>20 070,84 лв. по чл. 60; 197 031,33 лв. по чл. 64</t>
  </si>
  <si>
    <t>ІV трим. 2021 г.</t>
  </si>
  <si>
    <t>Общо за периода от 2011 г. до ІV трим. 2021 г.</t>
  </si>
  <si>
    <t>108 232,40 лв. по чл. 64</t>
  </si>
  <si>
    <t>46 990,94 лв. по чл. 60; 394 620,60 лв. по чл. 64</t>
  </si>
  <si>
    <t>60 356,00 лв. по чл.64</t>
  </si>
  <si>
    <t>94 958,55 лв. по чл. 60; 1 120 975,20 лв. по чл. 64</t>
  </si>
  <si>
    <t xml:space="preserve">Сумите записание в колони с  I и J не са внесени, поради изменение в ДОПК. </t>
  </si>
  <si>
    <t>І трим. 2022 г.</t>
  </si>
  <si>
    <t>Общо за периода от 2011 г. до І трим. 2022 г.</t>
  </si>
  <si>
    <t>5,60 лв</t>
  </si>
  <si>
    <t>46 990,94 лв. по чл. 60; 412 620,60 лв. по чл. 64</t>
  </si>
  <si>
    <t>197 531,90 лв. по чл. 60; 1 896 989,90 лв. по чл. 64</t>
  </si>
  <si>
    <t>28 562,63 лв. по чл. 60; 82 754,00 лв. по чл. 64</t>
  </si>
  <si>
    <t>Общо за периода от 2011 г. до I трим. 2022 г.</t>
  </si>
  <si>
    <t>ІІ трим. 2022 г.</t>
  </si>
  <si>
    <t>Общо за периода от 2011 г. до ІІ трим. 2022 г.</t>
  </si>
  <si>
    <t>възст. от ОПОС</t>
  </si>
  <si>
    <t>ІІІ трим. 2022 г.</t>
  </si>
  <si>
    <t>Общо за периода от 2011 г. до ІІІ трим. 2022 г.</t>
  </si>
  <si>
    <t>"Да изчистим България"</t>
  </si>
  <si>
    <t xml:space="preserve">Сумите записани в колони с  I и J не са внесени съгласно ДОПК (писмо от Община Мездра с вх. № УООП-299/1/13.07.22г.). </t>
  </si>
  <si>
    <t>66 658,66 лв. по чл. 60; 6 016 106,51 лв. по чл. 64</t>
  </si>
  <si>
    <t>17 988,85 лв. по чл. 60; 1 947 532,45 лв. по чл. 64</t>
  </si>
  <si>
    <t>995 630,48 по чл. 64</t>
  </si>
  <si>
    <t>298 615,50 лв. по чл.64</t>
  </si>
  <si>
    <t>Намалените суми в колони G и H са прехвърлени в полза на Община Оряхово</t>
  </si>
  <si>
    <t>ІV трим. 2022 г.</t>
  </si>
  <si>
    <t>Общо за периода от 2011 г. до ІV трим. 2022 г.</t>
  </si>
  <si>
    <t xml:space="preserve">Община Козлодуй  </t>
  </si>
  <si>
    <t>Сумата 86714,93 лв.е усвоена по ДОПК съгл. Писмо с вх. № УООП-659/20.12.2022Г</t>
  </si>
  <si>
    <t>4 525,63 лв. по чл.60</t>
  </si>
  <si>
    <t>1 078,17 лв. по чл.60</t>
  </si>
  <si>
    <t>1 569,55 лв. по чл.60</t>
  </si>
  <si>
    <t>181,88 лв. по чл.60</t>
  </si>
  <si>
    <t>68 724,01 лв. по чл. 60; 640 384,65 лв. по чл. 64</t>
  </si>
  <si>
    <t>1 621,16 лв. по чл.60; 8 500,00 лв. по чл.64</t>
  </si>
  <si>
    <t>48 069,11 лв. по чл. 60; 412 620,60 лв. по чл. 64</t>
  </si>
  <si>
    <t>202 057,53 лв. по чл. 60; 1 896 989,90 лв. по чл. 64</t>
  </si>
  <si>
    <t>77 645,10 лв. по чл. 60; 1 109 534,62 лв. по чл. 64</t>
  </si>
  <si>
    <t>97 100,41 лв. по чл. 60; 1 120 975,20 лв. по чл. 64</t>
  </si>
  <si>
    <t>2 141,86 лв. по чл.60</t>
  </si>
  <si>
    <t>436,29 лв. по чл.60; 11 390,40 лв. по чл.64</t>
  </si>
  <si>
    <t>20 507,13 лв. по чл. 60; 208 421,73 лв. по чл. 64</t>
  </si>
  <si>
    <t>9 862,25 лв. по чл. 60; 121 070,96 лв. по  чл. 64</t>
  </si>
  <si>
    <t>Общо за периода от 2011 г. до  ІV трим. 2024 г.</t>
  </si>
  <si>
    <t>66 658,66 лв. по чл. 60; 10 794 202,53 лв. по чл. 64</t>
  </si>
  <si>
    <t>Общо за периода от 2011 г. до ІV трим. 2024 г.</t>
  </si>
  <si>
    <t>17 988,85 лв. по чл. 60; 2 585 241,04 лв. по чл. 64</t>
  </si>
  <si>
    <t>Общо за периода от 2011 г. до  ІV трим.  2024 г.</t>
  </si>
  <si>
    <t>68 724,01 лв. по чл. 60; 826 911,26 лв. по чл. 64</t>
  </si>
  <si>
    <t>68 089,70 лв. по чл. 60; 1 000 226,61 лв. по чл. 64</t>
  </si>
  <si>
    <t>202 057,53 лв. по чл. 60; 2 666 209,53 лв. по чл. 64</t>
  </si>
  <si>
    <t>Общо за периода от 2011 г. до ІV трим.м. 2024 г.</t>
  </si>
  <si>
    <t>139 991,13 лв. по чл. 60; 2 097 541,94 лв. по чл. 64</t>
  </si>
  <si>
    <t>117 281,75 лв. по чл. 60; 1 713 781,77 лв. по чл. 64</t>
  </si>
  <si>
    <t>20 507,13 лв. по чл. 60; 421 057,00 лв. по чл. 64</t>
  </si>
  <si>
    <t>9 862,25 лв. по чл. 60; 135 519,96 лв. по  чл. 64</t>
  </si>
  <si>
    <t>Kоличества депонирани отпадъци на депата в Р. България и заплатени отчисления за депониране, съгласно чл. 60 и чл. 64 от ЗУО по общини за периода от 01.01.2011 г. до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</si>
</sst>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лв.&quot;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4" fillId="0" borderId="0"/>
    <xf numFmtId="9" fontId="25" fillId="0" borderId="0" applyFont="0" applyFill="0" applyBorder="0" applyAlignment="0" applyProtection="0"/>
  </cellStyleXfs>
  <cellXfs count="301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2" fillId="3" borderId="8" xfId="0" applyFont="1" applyFill="1" applyBorder="1"/>
    <xf numFmtId="0" fontId="1" fillId="3" borderId="8" xfId="0" applyFont="1" applyFill="1" applyBorder="1"/>
    <xf numFmtId="0" fontId="1" fillId="0" borderId="7" xfId="0" applyFont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5" fillId="6" borderId="16" xfId="0" applyFont="1" applyFill="1" applyBorder="1"/>
    <xf numFmtId="0" fontId="2" fillId="6" borderId="17" xfId="0" applyFont="1" applyFill="1" applyBorder="1" applyAlignment="1">
      <alignment vertical="center" wrapText="1"/>
    </xf>
    <xf numFmtId="0" fontId="5" fillId="0" borderId="14" xfId="0" applyFont="1" applyBorder="1"/>
    <xf numFmtId="0" fontId="5" fillId="0" borderId="13" xfId="0" applyFont="1" applyBorder="1"/>
    <xf numFmtId="0" fontId="5" fillId="5" borderId="14" xfId="0" applyFont="1" applyFill="1" applyBorder="1"/>
    <xf numFmtId="0" fontId="5" fillId="5" borderId="13" xfId="0" applyFont="1" applyFill="1" applyBorder="1"/>
    <xf numFmtId="0" fontId="5" fillId="6" borderId="14" xfId="0" applyFont="1" applyFill="1" applyBorder="1"/>
    <xf numFmtId="0" fontId="5" fillId="6" borderId="13" xfId="0" applyFont="1" applyFill="1" applyBorder="1"/>
    <xf numFmtId="0" fontId="1" fillId="0" borderId="13" xfId="0" applyFont="1" applyBorder="1" applyAlignment="1">
      <alignment horizontal="left" vertical="center" wrapText="1"/>
    </xf>
    <xf numFmtId="0" fontId="5" fillId="7" borderId="14" xfId="0" applyFont="1" applyFill="1" applyBorder="1"/>
    <xf numFmtId="0" fontId="5" fillId="7" borderId="13" xfId="0" applyFont="1" applyFill="1" applyBorder="1"/>
    <xf numFmtId="0" fontId="2" fillId="7" borderId="19" xfId="0" applyFont="1" applyFill="1" applyBorder="1" applyAlignment="1">
      <alignment vertical="center" wrapText="1"/>
    </xf>
    <xf numFmtId="0" fontId="5" fillId="5" borderId="18" xfId="0" applyFont="1" applyFill="1" applyBorder="1"/>
    <xf numFmtId="0" fontId="6" fillId="7" borderId="13" xfId="0" applyFont="1" applyFill="1" applyBorder="1"/>
    <xf numFmtId="165" fontId="7" fillId="5" borderId="13" xfId="0" applyNumberFormat="1" applyFont="1" applyFill="1" applyBorder="1" applyAlignment="1">
      <alignment horizontal="center" vertical="center"/>
    </xf>
    <xf numFmtId="164" fontId="7" fillId="5" borderId="13" xfId="0" applyNumberFormat="1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 vertical="center"/>
    </xf>
    <xf numFmtId="164" fontId="9" fillId="7" borderId="13" xfId="0" applyNumberFormat="1" applyFont="1" applyFill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7" borderId="13" xfId="0" applyNumberFormat="1" applyFont="1" applyFill="1" applyBorder="1"/>
    <xf numFmtId="0" fontId="7" fillId="7" borderId="13" xfId="0" applyFont="1" applyFill="1" applyBorder="1"/>
    <xf numFmtId="0" fontId="10" fillId="7" borderId="13" xfId="0" applyFont="1" applyFill="1" applyBorder="1"/>
    <xf numFmtId="0" fontId="7" fillId="0" borderId="13" xfId="0" applyFont="1" applyBorder="1"/>
    <xf numFmtId="0" fontId="7" fillId="0" borderId="0" xfId="0" applyFont="1"/>
    <xf numFmtId="0" fontId="7" fillId="6" borderId="13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164" fontId="7" fillId="6" borderId="21" xfId="0" applyNumberFormat="1" applyFont="1" applyFill="1" applyBorder="1"/>
    <xf numFmtId="0" fontId="12" fillId="6" borderId="15" xfId="0" applyFont="1" applyFill="1" applyBorder="1"/>
    <xf numFmtId="0" fontId="7" fillId="0" borderId="13" xfId="0" applyFont="1" applyBorder="1" applyAlignment="1">
      <alignment horizontal="center" vertical="center"/>
    </xf>
    <xf numFmtId="164" fontId="7" fillId="0" borderId="22" xfId="0" applyNumberFormat="1" applyFont="1" applyBorder="1"/>
    <xf numFmtId="0" fontId="12" fillId="6" borderId="13" xfId="0" applyFont="1" applyFill="1" applyBorder="1"/>
    <xf numFmtId="0" fontId="7" fillId="5" borderId="13" xfId="0" applyFont="1" applyFill="1" applyBorder="1" applyAlignment="1">
      <alignment horizontal="center" vertical="center"/>
    </xf>
    <xf numFmtId="164" fontId="7" fillId="5" borderId="22" xfId="0" applyNumberFormat="1" applyFont="1" applyFill="1" applyBorder="1"/>
    <xf numFmtId="0" fontId="12" fillId="5" borderId="13" xfId="0" applyFont="1" applyFill="1" applyBorder="1"/>
    <xf numFmtId="0" fontId="12" fillId="0" borderId="13" xfId="0" applyFont="1" applyBorder="1"/>
    <xf numFmtId="164" fontId="7" fillId="6" borderId="22" xfId="0" applyNumberFormat="1" applyFont="1" applyFill="1" applyBorder="1"/>
    <xf numFmtId="165" fontId="7" fillId="7" borderId="13" xfId="0" applyNumberFormat="1" applyFont="1" applyFill="1" applyBorder="1"/>
    <xf numFmtId="164" fontId="7" fillId="7" borderId="22" xfId="0" applyNumberFormat="1" applyFont="1" applyFill="1" applyBorder="1"/>
    <xf numFmtId="0" fontId="12" fillId="7" borderId="13" xfId="0" applyFont="1" applyFill="1" applyBorder="1"/>
    <xf numFmtId="164" fontId="7" fillId="6" borderId="22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165" fontId="9" fillId="7" borderId="13" xfId="0" applyNumberFormat="1" applyFont="1" applyFill="1" applyBorder="1" applyAlignment="1">
      <alignment vertical="center"/>
    </xf>
    <xf numFmtId="164" fontId="7" fillId="7" borderId="13" xfId="0" applyNumberFormat="1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4" fontId="7" fillId="6" borderId="22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2" xfId="0" applyNumberFormat="1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7" fillId="7" borderId="22" xfId="0" applyFont="1" applyFill="1" applyBorder="1"/>
    <xf numFmtId="0" fontId="7" fillId="6" borderId="13" xfId="0" applyFont="1" applyFill="1" applyBorder="1"/>
    <xf numFmtId="0" fontId="7" fillId="6" borderId="22" xfId="0" applyFont="1" applyFill="1" applyBorder="1"/>
    <xf numFmtId="0" fontId="7" fillId="0" borderId="22" xfId="0" applyFont="1" applyBorder="1"/>
    <xf numFmtId="0" fontId="7" fillId="5" borderId="13" xfId="0" applyFont="1" applyFill="1" applyBorder="1"/>
    <xf numFmtId="0" fontId="7" fillId="5" borderId="22" xfId="0" applyFont="1" applyFill="1" applyBorder="1"/>
    <xf numFmtId="165" fontId="10" fillId="7" borderId="13" xfId="0" applyNumberFormat="1" applyFont="1" applyFill="1" applyBorder="1"/>
    <xf numFmtId="164" fontId="10" fillId="7" borderId="13" xfId="0" applyNumberFormat="1" applyFont="1" applyFill="1" applyBorder="1"/>
    <xf numFmtId="0" fontId="10" fillId="7" borderId="22" xfId="0" applyFont="1" applyFill="1" applyBorder="1"/>
    <xf numFmtId="164" fontId="13" fillId="6" borderId="15" xfId="0" applyNumberFormat="1" applyFont="1" applyFill="1" applyBorder="1" applyAlignment="1">
      <alignment horizontal="center" vertical="center"/>
    </xf>
    <xf numFmtId="164" fontId="14" fillId="6" borderId="17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 wrapText="1"/>
    </xf>
    <xf numFmtId="165" fontId="14" fillId="5" borderId="13" xfId="0" applyNumberFormat="1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center" vertical="center"/>
    </xf>
    <xf numFmtId="164" fontId="14" fillId="5" borderId="13" xfId="0" applyNumberFormat="1" applyFont="1" applyFill="1" applyBorder="1" applyAlignment="1">
      <alignment horizontal="center" vertical="center" wrapText="1"/>
    </xf>
    <xf numFmtId="165" fontId="13" fillId="5" borderId="13" xfId="0" applyNumberFormat="1" applyFont="1" applyFill="1" applyBorder="1" applyAlignment="1">
      <alignment horizontal="center" vertical="center"/>
    </xf>
    <xf numFmtId="165" fontId="14" fillId="6" borderId="13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5" fontId="13" fillId="6" borderId="13" xfId="0" applyNumberFormat="1" applyFont="1" applyFill="1" applyBorder="1" applyAlignment="1">
      <alignment horizontal="center" vertical="center"/>
    </xf>
    <xf numFmtId="164" fontId="13" fillId="6" borderId="13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17" fontId="14" fillId="0" borderId="13" xfId="0" applyNumberFormat="1" applyFont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164" fontId="15" fillId="5" borderId="13" xfId="0" applyNumberFormat="1" applyFont="1" applyFill="1" applyBorder="1" applyAlignment="1">
      <alignment horizontal="center" vertical="center"/>
    </xf>
    <xf numFmtId="164" fontId="15" fillId="6" borderId="13" xfId="0" applyNumberFormat="1" applyFont="1" applyFill="1" applyBorder="1" applyAlignment="1">
      <alignment horizontal="center" vertical="center"/>
    </xf>
    <xf numFmtId="165" fontId="13" fillId="7" borderId="13" xfId="0" applyNumberFormat="1" applyFont="1" applyFill="1" applyBorder="1"/>
    <xf numFmtId="0" fontId="14" fillId="7" borderId="15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vertical="center" wrapText="1"/>
    </xf>
    <xf numFmtId="165" fontId="7" fillId="5" borderId="13" xfId="0" applyNumberFormat="1" applyFont="1" applyFill="1" applyBorder="1"/>
    <xf numFmtId="164" fontId="7" fillId="5" borderId="13" xfId="0" applyNumberFormat="1" applyFont="1" applyFill="1" applyBorder="1"/>
    <xf numFmtId="0" fontId="18" fillId="5" borderId="13" xfId="0" applyFont="1" applyFill="1" applyBorder="1" applyAlignment="1">
      <alignment horizontal="left" vertical="top" wrapText="1"/>
    </xf>
    <xf numFmtId="164" fontId="13" fillId="5" borderId="13" xfId="0" applyNumberFormat="1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/>
    </xf>
    <xf numFmtId="164" fontId="14" fillId="6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/>
    <xf numFmtId="0" fontId="18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5" borderId="13" xfId="0" applyFont="1" applyFill="1" applyBorder="1"/>
    <xf numFmtId="0" fontId="14" fillId="5" borderId="13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 wrapText="1"/>
    </xf>
    <xf numFmtId="165" fontId="15" fillId="5" borderId="13" xfId="0" applyNumberFormat="1" applyFont="1" applyFill="1" applyBorder="1" applyAlignment="1">
      <alignment horizontal="center" vertical="center"/>
    </xf>
    <xf numFmtId="165" fontId="15" fillId="0" borderId="13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/>
    <xf numFmtId="165" fontId="15" fillId="6" borderId="13" xfId="0" applyNumberFormat="1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164" fontId="13" fillId="6" borderId="13" xfId="0" applyNumberFormat="1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4" fillId="0" borderId="19" xfId="0" applyFont="1" applyBorder="1" applyAlignment="1">
      <alignment horizontal="left" vertical="center" wrapText="1"/>
    </xf>
    <xf numFmtId="165" fontId="1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4" fillId="0" borderId="13" xfId="0" applyNumberFormat="1" applyFont="1" applyBorder="1" applyAlignment="1">
      <alignment horizontal="center" vertical="center"/>
    </xf>
    <xf numFmtId="164" fontId="14" fillId="6" borderId="13" xfId="0" applyNumberFormat="1" applyFont="1" applyFill="1" applyBorder="1" applyAlignment="1">
      <alignment horizontal="center" vertical="center"/>
    </xf>
    <xf numFmtId="0" fontId="13" fillId="5" borderId="19" xfId="0" applyFont="1" applyFill="1" applyBorder="1"/>
    <xf numFmtId="165" fontId="13" fillId="5" borderId="19" xfId="0" applyNumberFormat="1" applyFont="1" applyFill="1" applyBorder="1" applyAlignment="1">
      <alignment horizontal="center" vertical="center"/>
    </xf>
    <xf numFmtId="164" fontId="13" fillId="5" borderId="19" xfId="0" applyNumberFormat="1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165" fontId="13" fillId="6" borderId="19" xfId="0" applyNumberFormat="1" applyFont="1" applyFill="1" applyBorder="1" applyAlignment="1">
      <alignment horizontal="center" vertical="center"/>
    </xf>
    <xf numFmtId="164" fontId="13" fillId="6" borderId="19" xfId="0" applyNumberFormat="1" applyFont="1" applyFill="1" applyBorder="1" applyAlignment="1">
      <alignment horizontal="center" vertical="center"/>
    </xf>
    <xf numFmtId="17" fontId="14" fillId="0" borderId="19" xfId="0" applyNumberFormat="1" applyFont="1" applyBorder="1" applyAlignment="1">
      <alignment horizontal="left" vertical="center" wrapText="1"/>
    </xf>
    <xf numFmtId="0" fontId="5" fillId="0" borderId="18" xfId="0" applyFont="1" applyBorder="1"/>
    <xf numFmtId="0" fontId="13" fillId="0" borderId="19" xfId="0" applyFont="1" applyBorder="1"/>
    <xf numFmtId="165" fontId="13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vertical="center"/>
    </xf>
    <xf numFmtId="164" fontId="13" fillId="6" borderId="19" xfId="0" applyNumberFormat="1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5" fontId="14" fillId="0" borderId="13" xfId="0" applyNumberFormat="1" applyFont="1" applyBorder="1" applyAlignment="1">
      <alignment horizontal="center" vertical="center"/>
    </xf>
    <xf numFmtId="165" fontId="19" fillId="6" borderId="13" xfId="0" applyNumberFormat="1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/>
    </xf>
    <xf numFmtId="0" fontId="18" fillId="0" borderId="13" xfId="0" applyFont="1" applyBorder="1"/>
    <xf numFmtId="165" fontId="1" fillId="6" borderId="7" xfId="0" applyNumberFormat="1" applyFont="1" applyFill="1" applyBorder="1" applyAlignment="1">
      <alignment horizontal="center" vertical="center" wrapText="1" shrinkToFit="1"/>
    </xf>
    <xf numFmtId="165" fontId="14" fillId="6" borderId="1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4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5" borderId="13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horizontal="left" vertical="center" wrapText="1"/>
    </xf>
    <xf numFmtId="164" fontId="13" fillId="5" borderId="15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4" fillId="6" borderId="15" xfId="0" applyFont="1" applyFill="1" applyBorder="1" applyAlignment="1">
      <alignment vertical="center" wrapText="1"/>
    </xf>
    <xf numFmtId="164" fontId="7" fillId="6" borderId="13" xfId="0" applyNumberFormat="1" applyFont="1" applyFill="1" applyBorder="1"/>
    <xf numFmtId="164" fontId="15" fillId="6" borderId="13" xfId="0" applyNumberFormat="1" applyFont="1" applyFill="1" applyBorder="1" applyAlignment="1">
      <alignment vertical="center"/>
    </xf>
    <xf numFmtId="165" fontId="13" fillId="6" borderId="13" xfId="0" applyNumberFormat="1" applyFont="1" applyFill="1" applyBorder="1" applyAlignment="1">
      <alignment horizontal="left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0" fontId="0" fillId="6" borderId="13" xfId="0" applyFill="1" applyBorder="1"/>
    <xf numFmtId="0" fontId="1" fillId="6" borderId="7" xfId="0" applyFont="1" applyFill="1" applyBorder="1" applyAlignment="1">
      <alignment horizontal="center" vertical="center" wrapText="1"/>
    </xf>
    <xf numFmtId="4" fontId="13" fillId="6" borderId="13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164" fontId="15" fillId="5" borderId="1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top" wrapText="1"/>
    </xf>
    <xf numFmtId="165" fontId="1" fillId="4" borderId="7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top" wrapText="1"/>
    </xf>
    <xf numFmtId="164" fontId="21" fillId="6" borderId="13" xfId="0" applyNumberFormat="1" applyFont="1" applyFill="1" applyBorder="1" applyAlignment="1">
      <alignment horizontal="center" vertical="center"/>
    </xf>
    <xf numFmtId="0" fontId="0" fillId="6" borderId="26" xfId="0" applyFill="1" applyBorder="1" applyAlignment="1"/>
    <xf numFmtId="0" fontId="0" fillId="6" borderId="0" xfId="0" applyFill="1" applyAlignment="1"/>
    <xf numFmtId="0" fontId="5" fillId="6" borderId="19" xfId="0" applyFont="1" applyFill="1" applyBorder="1"/>
    <xf numFmtId="0" fontId="13" fillId="6" borderId="19" xfId="0" applyFont="1" applyFill="1" applyBorder="1"/>
    <xf numFmtId="0" fontId="13" fillId="6" borderId="19" xfId="0" applyFont="1" applyFill="1" applyBorder="1" applyAlignment="1">
      <alignment horizontal="left" vertical="center" wrapText="1"/>
    </xf>
    <xf numFmtId="0" fontId="7" fillId="6" borderId="19" xfId="0" applyFont="1" applyFill="1" applyBorder="1"/>
    <xf numFmtId="0" fontId="7" fillId="6" borderId="23" xfId="0" applyFont="1" applyFill="1" applyBorder="1"/>
    <xf numFmtId="0" fontId="12" fillId="6" borderId="19" xfId="0" applyFont="1" applyFill="1" applyBorder="1"/>
    <xf numFmtId="0" fontId="5" fillId="5" borderId="15" xfId="0" applyFont="1" applyFill="1" applyBorder="1"/>
    <xf numFmtId="0" fontId="13" fillId="5" borderId="15" xfId="0" applyFont="1" applyFill="1" applyBorder="1"/>
    <xf numFmtId="0" fontId="14" fillId="5" borderId="27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165" fontId="13" fillId="5" borderId="15" xfId="0" applyNumberFormat="1" applyFont="1" applyFill="1" applyBorder="1" applyAlignment="1">
      <alignment horizontal="center" vertical="center"/>
    </xf>
    <xf numFmtId="0" fontId="7" fillId="5" borderId="15" xfId="0" applyFont="1" applyFill="1" applyBorder="1"/>
    <xf numFmtId="0" fontId="7" fillId="5" borderId="21" xfId="0" applyFont="1" applyFill="1" applyBorder="1"/>
    <xf numFmtId="0" fontId="12" fillId="5" borderId="15" xfId="0" applyFont="1" applyFill="1" applyBorder="1"/>
    <xf numFmtId="165" fontId="19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3" fillId="5" borderId="22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wrapText="1"/>
    </xf>
    <xf numFmtId="165" fontId="13" fillId="5" borderId="23" xfId="0" applyNumberFormat="1" applyFont="1" applyFill="1" applyBorder="1" applyAlignment="1">
      <alignment horizontal="center" vertical="center"/>
    </xf>
    <xf numFmtId="165" fontId="13" fillId="6" borderId="23" xfId="0" applyNumberFormat="1" applyFont="1" applyFill="1" applyBorder="1" applyAlignment="1">
      <alignment horizontal="center" vertical="center"/>
    </xf>
    <xf numFmtId="164" fontId="13" fillId="6" borderId="22" xfId="0" applyNumberFormat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vertical="top" wrapText="1"/>
    </xf>
    <xf numFmtId="0" fontId="22" fillId="6" borderId="19" xfId="0" applyFont="1" applyFill="1" applyBorder="1" applyAlignment="1">
      <alignment vertical="top" wrapText="1"/>
    </xf>
    <xf numFmtId="0" fontId="22" fillId="5" borderId="13" xfId="0" applyFont="1" applyFill="1" applyBorder="1" applyAlignment="1">
      <alignment vertical="top" wrapText="1"/>
    </xf>
    <xf numFmtId="164" fontId="13" fillId="6" borderId="13" xfId="0" applyNumberFormat="1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vertical="top" wrapText="1"/>
    </xf>
    <xf numFmtId="0" fontId="15" fillId="5" borderId="13" xfId="0" applyFont="1" applyFill="1" applyBorder="1" applyAlignment="1">
      <alignment horizontal="left" vertical="center" wrapText="1"/>
    </xf>
    <xf numFmtId="164" fontId="15" fillId="6" borderId="13" xfId="0" applyNumberFormat="1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wrapText="1"/>
    </xf>
    <xf numFmtId="164" fontId="23" fillId="6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3" xfId="0" applyFont="1" applyFill="1" applyBorder="1"/>
    <xf numFmtId="165" fontId="13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/>
    <xf numFmtId="0" fontId="12" fillId="0" borderId="13" xfId="0" applyFont="1" applyFill="1" applyBorder="1"/>
    <xf numFmtId="0" fontId="0" fillId="0" borderId="0" xfId="0" applyFill="1"/>
    <xf numFmtId="0" fontId="13" fillId="0" borderId="13" xfId="0" applyFont="1" applyFill="1" applyBorder="1"/>
    <xf numFmtId="165" fontId="15" fillId="0" borderId="13" xfId="0" applyNumberFormat="1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top" wrapText="1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7" fillId="0" borderId="22" xfId="0" applyFont="1" applyFill="1" applyBorder="1"/>
    <xf numFmtId="0" fontId="14" fillId="0" borderId="19" xfId="0" applyFont="1" applyFill="1" applyBorder="1" applyAlignment="1">
      <alignment horizontal="left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/>
    <xf numFmtId="0" fontId="14" fillId="0" borderId="13" xfId="0" applyFont="1" applyFill="1" applyBorder="1" applyAlignment="1">
      <alignment horizontal="left" vertical="center" wrapText="1"/>
    </xf>
    <xf numFmtId="164" fontId="21" fillId="5" borderId="13" xfId="0" applyNumberFormat="1" applyFont="1" applyFill="1" applyBorder="1" applyAlignment="1">
      <alignment horizontal="center" vertical="center"/>
    </xf>
    <xf numFmtId="164" fontId="21" fillId="5" borderId="13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4" fontId="23" fillId="6" borderId="22" xfId="0" applyNumberFormat="1" applyFont="1" applyFill="1" applyBorder="1" applyAlignment="1">
      <alignment horizontal="center" vertical="center" wrapText="1"/>
    </xf>
    <xf numFmtId="164" fontId="23" fillId="6" borderId="25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left" vertical="top" wrapText="1"/>
    </xf>
    <xf numFmtId="0" fontId="22" fillId="6" borderId="15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9" borderId="7" xfId="0" applyFont="1" applyFill="1" applyBorder="1" applyAlignment="1">
      <alignment horizontal="center" vertical="center" wrapText="1" shrinkToFit="1"/>
    </xf>
    <xf numFmtId="0" fontId="1" fillId="9" borderId="4" xfId="0" applyFont="1" applyFill="1" applyBorder="1" applyAlignment="1">
      <alignment horizontal="center" vertical="center" wrapText="1" shrinkToFit="1"/>
    </xf>
    <xf numFmtId="0" fontId="1" fillId="8" borderId="7" xfId="0" applyFont="1" applyFill="1" applyBorder="1" applyAlignment="1">
      <alignment horizontal="center" vertical="center" wrapText="1" shrinkToFit="1"/>
    </xf>
    <xf numFmtId="0" fontId="1" fillId="8" borderId="4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Процент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5</xdr:row>
      <xdr:rowOff>409575</xdr:rowOff>
    </xdr:from>
    <xdr:ext cx="184731" cy="264560"/>
    <xdr:sp macro="" textlink="">
      <xdr:nvSpPr>
        <xdr:cNvPr id="2" name="Текстово поле 1"/>
        <xdr:cNvSpPr txBox="1"/>
      </xdr:nvSpPr>
      <xdr:spPr>
        <a:xfrm>
          <a:off x="51530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6</xdr:col>
      <xdr:colOff>485775</xdr:colOff>
      <xdr:row>5</xdr:row>
      <xdr:rowOff>409575</xdr:rowOff>
    </xdr:from>
    <xdr:ext cx="184731" cy="264560"/>
    <xdr:sp macro="" textlink="">
      <xdr:nvSpPr>
        <xdr:cNvPr id="3" name="Текстово поле 2"/>
        <xdr:cNvSpPr txBox="1"/>
      </xdr:nvSpPr>
      <xdr:spPr>
        <a:xfrm>
          <a:off x="51530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485775</xdr:colOff>
      <xdr:row>5</xdr:row>
      <xdr:rowOff>409575</xdr:rowOff>
    </xdr:from>
    <xdr:ext cx="184731" cy="264560"/>
    <xdr:sp macro="" textlink="">
      <xdr:nvSpPr>
        <xdr:cNvPr id="4" name="Текстово поле 3"/>
        <xdr:cNvSpPr txBox="1"/>
      </xdr:nvSpPr>
      <xdr:spPr>
        <a:xfrm>
          <a:off x="51530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6"/>
  <sheetViews>
    <sheetView tabSelected="1" zoomScale="84" zoomScaleNormal="84" workbookViewId="0">
      <selection sqref="A1:S1"/>
    </sheetView>
  </sheetViews>
  <sheetFormatPr defaultRowHeight="15" x14ac:dyDescent="0.25"/>
  <cols>
    <col min="1" max="1" width="2.7109375" customWidth="1"/>
    <col min="2" max="2" width="9.85546875" customWidth="1"/>
    <col min="3" max="3" width="13.42578125" customWidth="1"/>
    <col min="4" max="4" width="16.140625" customWidth="1"/>
    <col min="5" max="5" width="13.140625" style="167" customWidth="1"/>
    <col min="6" max="6" width="10" customWidth="1"/>
    <col min="7" max="7" width="14.140625" style="2" customWidth="1"/>
    <col min="8" max="8" width="17" style="2" customWidth="1"/>
    <col min="9" max="9" width="15.28515625" customWidth="1"/>
    <col min="10" max="10" width="14.5703125" customWidth="1"/>
    <col min="11" max="11" width="13.42578125" customWidth="1"/>
    <col min="12" max="12" width="14.140625" customWidth="1"/>
    <col min="13" max="13" width="13.28515625" customWidth="1"/>
    <col min="14" max="14" width="4.5703125" customWidth="1"/>
    <col min="15" max="15" width="5.140625" customWidth="1"/>
    <col min="16" max="16" width="17.85546875" style="39" customWidth="1"/>
    <col min="17" max="17" width="5.5703125" customWidth="1"/>
    <col min="18" max="18" width="6" customWidth="1"/>
    <col min="19" max="19" width="15.140625" customWidth="1"/>
  </cols>
  <sheetData>
    <row r="1" spans="1:400" ht="36" customHeight="1" thickBot="1" x14ac:dyDescent="0.3">
      <c r="A1" s="274" t="s">
        <v>258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6"/>
    </row>
    <row r="2" spans="1:400" ht="15.75" thickBot="1" x14ac:dyDescent="0.3">
      <c r="A2" s="4"/>
      <c r="B2" s="5" t="s">
        <v>0</v>
      </c>
      <c r="C2" s="288" t="s">
        <v>1</v>
      </c>
      <c r="D2" s="289"/>
      <c r="E2" s="277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9"/>
    </row>
    <row r="3" spans="1:400" ht="15" customHeight="1" x14ac:dyDescent="0.25">
      <c r="A3" s="290" t="s">
        <v>2</v>
      </c>
      <c r="B3" s="290" t="s">
        <v>3</v>
      </c>
      <c r="C3" s="282" t="s">
        <v>4</v>
      </c>
      <c r="D3" s="293" t="s">
        <v>5</v>
      </c>
      <c r="E3" s="294"/>
      <c r="F3" s="299" t="s">
        <v>8</v>
      </c>
      <c r="G3" s="266" t="s">
        <v>9</v>
      </c>
      <c r="H3" s="267"/>
      <c r="I3" s="284" t="s">
        <v>12</v>
      </c>
      <c r="J3" s="284" t="s">
        <v>13</v>
      </c>
      <c r="K3" s="286" t="s">
        <v>14</v>
      </c>
      <c r="L3" s="282" t="s">
        <v>15</v>
      </c>
      <c r="M3" s="282" t="s">
        <v>16</v>
      </c>
      <c r="N3" s="272" t="s">
        <v>17</v>
      </c>
      <c r="O3" s="272" t="s">
        <v>18</v>
      </c>
      <c r="P3" s="282" t="s">
        <v>19</v>
      </c>
      <c r="Q3" s="280" t="s">
        <v>20</v>
      </c>
      <c r="R3" s="282" t="s">
        <v>21</v>
      </c>
      <c r="S3" s="263" t="s">
        <v>56</v>
      </c>
    </row>
    <row r="4" spans="1:400" x14ac:dyDescent="0.25">
      <c r="A4" s="291"/>
      <c r="B4" s="292"/>
      <c r="C4" s="283"/>
      <c r="D4" s="295"/>
      <c r="E4" s="296"/>
      <c r="F4" s="300"/>
      <c r="G4" s="268"/>
      <c r="H4" s="269"/>
      <c r="I4" s="285"/>
      <c r="J4" s="285"/>
      <c r="K4" s="287"/>
      <c r="L4" s="283"/>
      <c r="M4" s="283"/>
      <c r="N4" s="273"/>
      <c r="O4" s="273"/>
      <c r="P4" s="283"/>
      <c r="Q4" s="281"/>
      <c r="R4" s="283"/>
      <c r="S4" s="264"/>
    </row>
    <row r="5" spans="1:400" ht="15.75" customHeight="1" thickBot="1" x14ac:dyDescent="0.3">
      <c r="A5" s="291"/>
      <c r="B5" s="292"/>
      <c r="C5" s="283"/>
      <c r="D5" s="297"/>
      <c r="E5" s="298"/>
      <c r="F5" s="300"/>
      <c r="G5" s="270"/>
      <c r="H5" s="271"/>
      <c r="I5" s="285"/>
      <c r="J5" s="285"/>
      <c r="K5" s="287"/>
      <c r="L5" s="283"/>
      <c r="M5" s="283"/>
      <c r="N5" s="273"/>
      <c r="O5" s="273"/>
      <c r="P5" s="283"/>
      <c r="Q5" s="281"/>
      <c r="R5" s="283"/>
      <c r="S5" s="264"/>
    </row>
    <row r="6" spans="1:400" ht="121.5" customHeight="1" thickBot="1" x14ac:dyDescent="0.3">
      <c r="A6" s="291"/>
      <c r="B6" s="292"/>
      <c r="C6" s="283"/>
      <c r="D6" s="6" t="s">
        <v>6</v>
      </c>
      <c r="E6" s="165" t="s">
        <v>7</v>
      </c>
      <c r="F6" s="300"/>
      <c r="G6" s="181" t="s">
        <v>10</v>
      </c>
      <c r="H6" s="181" t="s">
        <v>11</v>
      </c>
      <c r="I6" s="285"/>
      <c r="J6" s="285"/>
      <c r="K6" s="287"/>
      <c r="L6" s="283"/>
      <c r="M6" s="283"/>
      <c r="N6" s="273"/>
      <c r="O6" s="273"/>
      <c r="P6" s="283"/>
      <c r="Q6" s="281"/>
      <c r="R6" s="283"/>
      <c r="S6" s="265"/>
    </row>
    <row r="7" spans="1:400" ht="14.25" customHeight="1" thickBot="1" x14ac:dyDescent="0.3">
      <c r="A7" s="7">
        <v>1</v>
      </c>
      <c r="B7" s="8">
        <v>2</v>
      </c>
      <c r="C7" s="186">
        <v>3</v>
      </c>
      <c r="D7" s="186">
        <v>4</v>
      </c>
      <c r="E7" s="188">
        <v>5</v>
      </c>
      <c r="F7" s="8">
        <v>6</v>
      </c>
      <c r="G7" s="183">
        <v>7</v>
      </c>
      <c r="H7" s="184">
        <v>8</v>
      </c>
      <c r="I7" s="9">
        <v>9</v>
      </c>
      <c r="J7" s="8">
        <v>11</v>
      </c>
      <c r="K7" s="8">
        <v>12</v>
      </c>
      <c r="L7" s="10">
        <v>13</v>
      </c>
      <c r="M7" s="10">
        <v>14</v>
      </c>
      <c r="N7" s="7">
        <v>15</v>
      </c>
      <c r="O7" s="7">
        <v>16</v>
      </c>
      <c r="P7" s="31">
        <v>17</v>
      </c>
      <c r="Q7" s="11">
        <v>18</v>
      </c>
      <c r="R7" s="11">
        <v>19</v>
      </c>
      <c r="S7" s="12">
        <v>20</v>
      </c>
    </row>
    <row r="8" spans="1:400" s="2" customFormat="1" ht="36.75" customHeight="1" x14ac:dyDescent="0.25">
      <c r="A8" s="13"/>
      <c r="B8" s="14" t="s">
        <v>22</v>
      </c>
      <c r="C8" s="116" t="s">
        <v>60</v>
      </c>
      <c r="D8" s="133">
        <v>2011</v>
      </c>
      <c r="E8" s="93">
        <v>17415.05</v>
      </c>
      <c r="F8" s="81"/>
      <c r="H8" s="81">
        <v>26269.13</v>
      </c>
      <c r="I8" s="81"/>
      <c r="J8" s="82"/>
      <c r="K8" s="82"/>
      <c r="L8" s="32"/>
      <c r="M8" s="32"/>
      <c r="N8" s="42"/>
      <c r="O8" s="42"/>
      <c r="P8" s="81">
        <v>0</v>
      </c>
      <c r="Q8" s="42"/>
      <c r="R8" s="43"/>
      <c r="S8" s="44"/>
    </row>
    <row r="9" spans="1:400" ht="22.5" customHeight="1" x14ac:dyDescent="0.25">
      <c r="A9" s="15"/>
      <c r="B9" s="16"/>
      <c r="C9" s="116" t="s">
        <v>60</v>
      </c>
      <c r="D9" s="97">
        <v>2012</v>
      </c>
      <c r="E9" s="83">
        <v>16855.93</v>
      </c>
      <c r="F9" s="84"/>
      <c r="G9" s="118">
        <v>3895.56</v>
      </c>
      <c r="H9" s="118">
        <v>103533.75</v>
      </c>
      <c r="I9" s="85"/>
      <c r="J9" s="85"/>
      <c r="K9" s="84"/>
      <c r="L9" s="34"/>
      <c r="M9" s="34"/>
      <c r="N9" s="45"/>
      <c r="O9" s="45"/>
      <c r="P9" s="81">
        <v>0</v>
      </c>
      <c r="Q9" s="45"/>
      <c r="R9" s="46"/>
      <c r="S9" s="4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400" s="1" customFormat="1" ht="47.25" customHeight="1" x14ac:dyDescent="0.25">
      <c r="A10" s="17"/>
      <c r="B10" s="18"/>
      <c r="C10" s="123" t="s">
        <v>60</v>
      </c>
      <c r="D10" s="96" t="s">
        <v>25</v>
      </c>
      <c r="E10" s="86">
        <v>34270.980000000003</v>
      </c>
      <c r="F10" s="87"/>
      <c r="G10" s="88">
        <v>3895.56</v>
      </c>
      <c r="H10" s="88">
        <v>129802.88</v>
      </c>
      <c r="I10" s="88"/>
      <c r="J10" s="88"/>
      <c r="K10" s="87"/>
      <c r="L10" s="28"/>
      <c r="M10" s="28"/>
      <c r="N10" s="48"/>
      <c r="O10" s="48"/>
      <c r="P10" s="173">
        <v>0</v>
      </c>
      <c r="Q10" s="48"/>
      <c r="R10" s="49"/>
      <c r="S10" s="5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</row>
    <row r="11" spans="1:400" x14ac:dyDescent="0.25">
      <c r="A11" s="15"/>
      <c r="B11" s="16"/>
      <c r="C11" s="116" t="s">
        <v>60</v>
      </c>
      <c r="D11" s="97">
        <v>2013</v>
      </c>
      <c r="E11" s="83">
        <v>16458.28</v>
      </c>
      <c r="F11" s="84"/>
      <c r="G11" s="118">
        <v>52177</v>
      </c>
      <c r="H11" s="118">
        <v>194930.55</v>
      </c>
      <c r="I11" s="85"/>
      <c r="J11" s="85"/>
      <c r="K11" s="84"/>
      <c r="L11" s="34"/>
      <c r="M11" s="34"/>
      <c r="N11" s="45"/>
      <c r="O11" s="45"/>
      <c r="P11" s="81">
        <v>0</v>
      </c>
      <c r="Q11" s="45"/>
      <c r="R11" s="46"/>
      <c r="S11" s="51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</row>
    <row r="12" spans="1:400" s="1" customFormat="1" ht="25.5" x14ac:dyDescent="0.25">
      <c r="A12" s="17"/>
      <c r="B12" s="18"/>
      <c r="C12" s="123" t="s">
        <v>60</v>
      </c>
      <c r="D12" s="96" t="s">
        <v>23</v>
      </c>
      <c r="E12" s="86">
        <v>50729.26</v>
      </c>
      <c r="F12" s="87"/>
      <c r="G12" s="88">
        <v>56072.56</v>
      </c>
      <c r="H12" s="88">
        <v>324733.43</v>
      </c>
      <c r="I12" s="88"/>
      <c r="J12" s="88"/>
      <c r="K12" s="87"/>
      <c r="L12" s="28"/>
      <c r="M12" s="28"/>
      <c r="N12" s="48"/>
      <c r="O12" s="48"/>
      <c r="P12" s="173">
        <v>0</v>
      </c>
      <c r="Q12" s="48"/>
      <c r="R12" s="49"/>
      <c r="S12" s="5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</row>
    <row r="13" spans="1:400" x14ac:dyDescent="0.25">
      <c r="A13" s="15"/>
      <c r="B13" s="16"/>
      <c r="C13" s="116" t="s">
        <v>60</v>
      </c>
      <c r="D13" s="97">
        <v>2014</v>
      </c>
      <c r="E13" s="83">
        <v>11115.12</v>
      </c>
      <c r="F13" s="84"/>
      <c r="G13" s="118">
        <v>36254.879999999997</v>
      </c>
      <c r="H13" s="118">
        <v>385533.99</v>
      </c>
      <c r="I13" s="85"/>
      <c r="J13" s="85"/>
      <c r="K13" s="84"/>
      <c r="L13" s="34"/>
      <c r="M13" s="34"/>
      <c r="N13" s="45"/>
      <c r="O13" s="45"/>
      <c r="P13" s="81">
        <v>0</v>
      </c>
      <c r="Q13" s="45"/>
      <c r="R13" s="46"/>
      <c r="S13" s="4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</row>
    <row r="14" spans="1:400" s="1" customFormat="1" ht="41.25" customHeight="1" x14ac:dyDescent="0.25">
      <c r="A14" s="17"/>
      <c r="B14" s="18"/>
      <c r="C14" s="123" t="s">
        <v>60</v>
      </c>
      <c r="D14" s="96" t="s">
        <v>24</v>
      </c>
      <c r="E14" s="89">
        <v>61844.38</v>
      </c>
      <c r="F14" s="87"/>
      <c r="G14" s="87">
        <f>SUM(G12+G13)</f>
        <v>92327.44</v>
      </c>
      <c r="H14" s="87">
        <f t="shared" ref="H14" si="0">SUM(H12+H13)</f>
        <v>710267.41999999993</v>
      </c>
      <c r="I14" s="87"/>
      <c r="J14" s="87"/>
      <c r="K14" s="87"/>
      <c r="L14" s="28"/>
      <c r="M14" s="28"/>
      <c r="N14" s="48"/>
      <c r="O14" s="48"/>
      <c r="P14" s="173">
        <v>0</v>
      </c>
      <c r="Q14" s="48"/>
      <c r="R14" s="49"/>
      <c r="S14" s="5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</row>
    <row r="15" spans="1:400" x14ac:dyDescent="0.25">
      <c r="A15" s="15"/>
      <c r="B15" s="16"/>
      <c r="C15" s="189" t="s">
        <v>60</v>
      </c>
      <c r="D15" s="98">
        <v>2015</v>
      </c>
      <c r="E15" s="90">
        <v>11202.05</v>
      </c>
      <c r="F15" s="84">
        <v>2.64</v>
      </c>
      <c r="G15" s="118">
        <f>E15*F15</f>
        <v>29573.412</v>
      </c>
      <c r="H15" s="118">
        <v>313657.51</v>
      </c>
      <c r="I15" s="85"/>
      <c r="J15" s="85"/>
      <c r="K15" s="84"/>
      <c r="L15" s="34"/>
      <c r="M15" s="34"/>
      <c r="N15" s="45"/>
      <c r="O15" s="45"/>
      <c r="P15" s="92">
        <v>470394.5</v>
      </c>
      <c r="Q15" s="45"/>
      <c r="R15" s="46"/>
      <c r="S15" s="4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</row>
    <row r="16" spans="1:400" x14ac:dyDescent="0.25">
      <c r="A16" s="15"/>
      <c r="B16" s="16"/>
      <c r="C16" s="174" t="s">
        <v>27</v>
      </c>
      <c r="D16" s="98">
        <v>2015</v>
      </c>
      <c r="E16" s="91">
        <v>112.94</v>
      </c>
      <c r="F16" s="84">
        <v>2.64</v>
      </c>
      <c r="G16" s="118">
        <f>E16*F16</f>
        <v>298.16160000000002</v>
      </c>
      <c r="H16" s="106">
        <v>3162.32</v>
      </c>
      <c r="I16" s="92"/>
      <c r="J16" s="92"/>
      <c r="K16" s="84"/>
      <c r="L16" s="34"/>
      <c r="M16" s="34"/>
      <c r="N16" s="45"/>
      <c r="O16" s="45"/>
      <c r="P16" s="92"/>
      <c r="Q16" s="45"/>
      <c r="R16" s="46"/>
      <c r="S16" s="4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</row>
    <row r="17" spans="1:400" ht="38.25" x14ac:dyDescent="0.25">
      <c r="A17" s="15"/>
      <c r="B17" s="16"/>
      <c r="C17" s="101" t="s">
        <v>37</v>
      </c>
      <c r="D17" s="98">
        <v>2015</v>
      </c>
      <c r="E17" s="91">
        <v>200.46</v>
      </c>
      <c r="F17" s="84">
        <v>0</v>
      </c>
      <c r="G17" s="106">
        <v>0</v>
      </c>
      <c r="H17" s="106">
        <v>0</v>
      </c>
      <c r="I17" s="92"/>
      <c r="J17" s="92"/>
      <c r="K17" s="84"/>
      <c r="L17" s="34"/>
      <c r="M17" s="34"/>
      <c r="N17" s="45"/>
      <c r="O17" s="45"/>
      <c r="P17" s="92"/>
      <c r="Q17" s="45"/>
      <c r="R17" s="46"/>
      <c r="S17" s="4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</row>
    <row r="18" spans="1:400" s="1" customFormat="1" ht="45" customHeight="1" x14ac:dyDescent="0.25">
      <c r="A18" s="17"/>
      <c r="B18" s="18"/>
      <c r="C18" s="123" t="s">
        <v>60</v>
      </c>
      <c r="D18" s="96" t="s">
        <v>26</v>
      </c>
      <c r="E18" s="89">
        <v>73359.83</v>
      </c>
      <c r="F18" s="87"/>
      <c r="G18" s="87">
        <f>SUM(G14:G17)</f>
        <v>122199.01360000001</v>
      </c>
      <c r="H18" s="87">
        <f t="shared" ref="H18" si="1">SUM(H14:H17)</f>
        <v>1027087.2499999999</v>
      </c>
      <c r="I18" s="87"/>
      <c r="J18" s="87"/>
      <c r="K18" s="87"/>
      <c r="L18" s="28"/>
      <c r="M18" s="28"/>
      <c r="N18" s="48"/>
      <c r="O18" s="48"/>
      <c r="P18" s="105">
        <v>470394.5</v>
      </c>
      <c r="Q18" s="48"/>
      <c r="R18" s="49"/>
      <c r="S18" s="50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</row>
    <row r="19" spans="1:400" s="2" customFormat="1" x14ac:dyDescent="0.25">
      <c r="A19" s="19"/>
      <c r="B19" s="20"/>
      <c r="C19" s="116" t="s">
        <v>60</v>
      </c>
      <c r="D19" s="99" t="s">
        <v>29</v>
      </c>
      <c r="E19" s="93">
        <v>3133.424</v>
      </c>
      <c r="F19" s="94">
        <v>5.91</v>
      </c>
      <c r="G19" s="94">
        <f>E19*F19</f>
        <v>18518.53584</v>
      </c>
      <c r="H19" s="94">
        <v>112803.264</v>
      </c>
      <c r="I19" s="94"/>
      <c r="J19" s="94"/>
      <c r="K19" s="94"/>
      <c r="L19" s="29"/>
      <c r="M19" s="29"/>
      <c r="N19" s="30"/>
      <c r="O19" s="30"/>
      <c r="P19" s="94">
        <v>0</v>
      </c>
      <c r="Q19" s="30"/>
      <c r="R19" s="52"/>
      <c r="S19" s="47"/>
    </row>
    <row r="20" spans="1:400" s="2" customFormat="1" x14ac:dyDescent="0.25">
      <c r="A20" s="19"/>
      <c r="B20" s="20"/>
      <c r="C20" s="116" t="s">
        <v>27</v>
      </c>
      <c r="D20" s="99" t="s">
        <v>29</v>
      </c>
      <c r="E20" s="93">
        <v>26.44</v>
      </c>
      <c r="F20" s="94">
        <v>5.91</v>
      </c>
      <c r="G20" s="94">
        <f>E20*F20</f>
        <v>156.2604</v>
      </c>
      <c r="H20" s="94">
        <v>951.84</v>
      </c>
      <c r="I20" s="94"/>
      <c r="J20" s="94"/>
      <c r="K20" s="94"/>
      <c r="L20" s="29"/>
      <c r="M20" s="29"/>
      <c r="N20" s="30"/>
      <c r="O20" s="30"/>
      <c r="P20" s="94"/>
      <c r="Q20" s="30"/>
      <c r="R20" s="52"/>
      <c r="S20" s="47"/>
    </row>
    <row r="21" spans="1:400" s="2" customFormat="1" ht="75.75" customHeight="1" x14ac:dyDescent="0.25">
      <c r="A21" s="19"/>
      <c r="B21" s="20"/>
      <c r="C21" s="21" t="s">
        <v>28</v>
      </c>
      <c r="D21" s="40"/>
      <c r="E21" s="93"/>
      <c r="F21" s="94"/>
      <c r="G21" s="106">
        <v>-16969.7</v>
      </c>
      <c r="H21" s="106">
        <v>16969.7</v>
      </c>
      <c r="I21" s="92"/>
      <c r="J21" s="92"/>
      <c r="K21" s="95"/>
      <c r="L21" s="29"/>
      <c r="M21" s="29"/>
      <c r="N21" s="30"/>
      <c r="O21" s="30"/>
      <c r="P21" s="94"/>
      <c r="Q21" s="30"/>
      <c r="R21" s="52"/>
      <c r="S21" s="47"/>
    </row>
    <row r="22" spans="1:400" s="2" customFormat="1" ht="38.25" x14ac:dyDescent="0.25">
      <c r="A22" s="17"/>
      <c r="B22" s="18"/>
      <c r="C22" s="123" t="s">
        <v>60</v>
      </c>
      <c r="D22" s="100" t="s">
        <v>30</v>
      </c>
      <c r="E22" s="89">
        <v>76519.694000000003</v>
      </c>
      <c r="F22" s="28"/>
      <c r="G22" s="87">
        <f>SUM(G18:G21)</f>
        <v>123904.10984</v>
      </c>
      <c r="H22" s="87">
        <f t="shared" ref="H22" si="2">SUM(H18:H21)</f>
        <v>1157812.054</v>
      </c>
      <c r="I22" s="87"/>
      <c r="J22" s="87"/>
      <c r="K22" s="87"/>
      <c r="L22" s="28"/>
      <c r="M22" s="28"/>
      <c r="N22" s="48"/>
      <c r="O22" s="48"/>
      <c r="P22" s="105">
        <v>470394.5</v>
      </c>
      <c r="Q22" s="48"/>
      <c r="R22" s="49"/>
      <c r="S22" s="50"/>
    </row>
    <row r="23" spans="1:400" s="2" customFormat="1" x14ac:dyDescent="0.25">
      <c r="A23" s="19"/>
      <c r="B23" s="20"/>
      <c r="C23" s="116" t="s">
        <v>60</v>
      </c>
      <c r="D23" s="99" t="s">
        <v>31</v>
      </c>
      <c r="E23" s="93">
        <v>3282.2370000000001</v>
      </c>
      <c r="F23" s="94">
        <v>5.91</v>
      </c>
      <c r="G23" s="94">
        <f>E23*F23</f>
        <v>19398.020670000002</v>
      </c>
      <c r="H23" s="94">
        <v>118160.53200000001</v>
      </c>
      <c r="I23" s="94"/>
      <c r="J23" s="94"/>
      <c r="K23" s="94"/>
      <c r="L23" s="94"/>
      <c r="M23" s="94"/>
      <c r="N23" s="95"/>
      <c r="O23" s="95"/>
      <c r="P23" s="94">
        <v>0</v>
      </c>
      <c r="Q23" s="30"/>
      <c r="R23" s="52"/>
      <c r="S23" s="47"/>
    </row>
    <row r="24" spans="1:400" s="2" customFormat="1" x14ac:dyDescent="0.25">
      <c r="A24" s="19"/>
      <c r="B24" s="20"/>
      <c r="C24" s="116" t="s">
        <v>27</v>
      </c>
      <c r="D24" s="99" t="s">
        <v>31</v>
      </c>
      <c r="E24" s="93">
        <v>165.78</v>
      </c>
      <c r="F24" s="94">
        <v>5.91</v>
      </c>
      <c r="G24" s="94">
        <f>E24*F24</f>
        <v>979.75980000000004</v>
      </c>
      <c r="H24" s="94">
        <v>5968.08</v>
      </c>
      <c r="I24" s="94"/>
      <c r="J24" s="94"/>
      <c r="K24" s="94"/>
      <c r="L24" s="94"/>
      <c r="M24" s="94"/>
      <c r="N24" s="95"/>
      <c r="O24" s="95"/>
      <c r="P24" s="94"/>
      <c r="Q24" s="30"/>
      <c r="R24" s="52"/>
      <c r="S24" s="47"/>
    </row>
    <row r="25" spans="1:400" s="2" customFormat="1" ht="38.25" x14ac:dyDescent="0.25">
      <c r="A25" s="19"/>
      <c r="B25" s="20"/>
      <c r="C25" s="101" t="s">
        <v>37</v>
      </c>
      <c r="D25" s="99"/>
      <c r="E25" s="93">
        <v>0.74</v>
      </c>
      <c r="F25" s="94">
        <v>0</v>
      </c>
      <c r="G25" s="94">
        <v>0</v>
      </c>
      <c r="H25" s="94">
        <v>0</v>
      </c>
      <c r="I25" s="94"/>
      <c r="J25" s="94"/>
      <c r="K25" s="94"/>
      <c r="L25" s="94"/>
      <c r="M25" s="94"/>
      <c r="N25" s="95"/>
      <c r="O25" s="95"/>
      <c r="P25" s="94"/>
      <c r="Q25" s="30"/>
      <c r="R25" s="52"/>
      <c r="S25" s="47"/>
    </row>
    <row r="26" spans="1:400" s="2" customFormat="1" ht="39" customHeight="1" x14ac:dyDescent="0.25">
      <c r="A26" s="17"/>
      <c r="B26" s="18"/>
      <c r="C26" s="123" t="s">
        <v>60</v>
      </c>
      <c r="D26" s="100" t="s">
        <v>32</v>
      </c>
      <c r="E26" s="89">
        <v>79968.451000000001</v>
      </c>
      <c r="F26" s="87"/>
      <c r="G26" s="87">
        <f>SUM(G22:G25)</f>
        <v>144281.89031000002</v>
      </c>
      <c r="H26" s="87">
        <f t="shared" ref="H26" si="3">SUM(H22:H25)</f>
        <v>1281940.6660000002</v>
      </c>
      <c r="I26" s="87"/>
      <c r="J26" s="87"/>
      <c r="K26" s="87"/>
      <c r="L26" s="28"/>
      <c r="M26" s="28"/>
      <c r="N26" s="48"/>
      <c r="O26" s="48"/>
      <c r="P26" s="105">
        <v>470394.5</v>
      </c>
      <c r="Q26" s="48"/>
      <c r="R26" s="49"/>
      <c r="S26" s="50"/>
    </row>
    <row r="27" spans="1:400" s="2" customFormat="1" x14ac:dyDescent="0.25">
      <c r="A27" s="19"/>
      <c r="B27" s="20"/>
      <c r="C27" s="116" t="s">
        <v>60</v>
      </c>
      <c r="D27" s="99" t="s">
        <v>33</v>
      </c>
      <c r="E27" s="93">
        <v>3236.6509999999998</v>
      </c>
      <c r="F27" s="94">
        <v>5.91</v>
      </c>
      <c r="G27" s="94">
        <f>E27*F27</f>
        <v>19128.607410000001</v>
      </c>
      <c r="H27" s="94">
        <v>116519.436</v>
      </c>
      <c r="I27" s="94"/>
      <c r="J27" s="94"/>
      <c r="K27" s="94"/>
      <c r="L27" s="29"/>
      <c r="M27" s="29"/>
      <c r="N27" s="30"/>
      <c r="O27" s="30"/>
      <c r="P27" s="94">
        <v>0</v>
      </c>
      <c r="Q27" s="30"/>
      <c r="R27" s="52"/>
      <c r="S27" s="47"/>
    </row>
    <row r="28" spans="1:400" s="2" customFormat="1" x14ac:dyDescent="0.25">
      <c r="A28" s="19"/>
      <c r="B28" s="20"/>
      <c r="C28" s="116" t="s">
        <v>27</v>
      </c>
      <c r="D28" s="99" t="s">
        <v>33</v>
      </c>
      <c r="E28" s="93">
        <v>128.13999999999999</v>
      </c>
      <c r="F28" s="94">
        <v>5.91</v>
      </c>
      <c r="G28" s="94">
        <f>E28*F28</f>
        <v>757.30739999999992</v>
      </c>
      <c r="H28" s="94">
        <v>4613.04</v>
      </c>
      <c r="I28" s="94"/>
      <c r="J28" s="94"/>
      <c r="K28" s="94"/>
      <c r="L28" s="29"/>
      <c r="M28" s="29"/>
      <c r="N28" s="30"/>
      <c r="O28" s="30"/>
      <c r="P28" s="94"/>
      <c r="Q28" s="30"/>
      <c r="R28" s="52"/>
      <c r="S28" s="47"/>
    </row>
    <row r="29" spans="1:400" s="2" customFormat="1" ht="38.25" x14ac:dyDescent="0.25">
      <c r="A29" s="17"/>
      <c r="B29" s="18"/>
      <c r="C29" s="123" t="s">
        <v>60</v>
      </c>
      <c r="D29" s="100" t="s">
        <v>35</v>
      </c>
      <c r="E29" s="89">
        <v>83333.241999999998</v>
      </c>
      <c r="F29" s="89"/>
      <c r="G29" s="87">
        <f>SUM(G26:G28)</f>
        <v>164167.80512</v>
      </c>
      <c r="H29" s="87">
        <f t="shared" ref="H29" si="4">SUM(H26:H28)</f>
        <v>1403073.1420000002</v>
      </c>
      <c r="I29" s="87"/>
      <c r="J29" s="87"/>
      <c r="K29" s="87"/>
      <c r="L29" s="87"/>
      <c r="M29" s="87"/>
      <c r="N29" s="48"/>
      <c r="O29" s="48"/>
      <c r="P29" s="105">
        <v>470394.5</v>
      </c>
      <c r="Q29" s="48"/>
      <c r="R29" s="49"/>
      <c r="S29" s="50"/>
    </row>
    <row r="30" spans="1:400" s="2" customFormat="1" x14ac:dyDescent="0.25">
      <c r="A30" s="19"/>
      <c r="B30" s="20"/>
      <c r="C30" s="116" t="s">
        <v>60</v>
      </c>
      <c r="D30" s="99" t="s">
        <v>34</v>
      </c>
      <c r="E30" s="93">
        <v>3172.5329999999999</v>
      </c>
      <c r="F30" s="94">
        <v>5.91</v>
      </c>
      <c r="G30" s="94">
        <f>E30*F30</f>
        <v>18749.670030000001</v>
      </c>
      <c r="H30" s="94">
        <v>114211.18799999999</v>
      </c>
      <c r="I30" s="94"/>
      <c r="J30" s="94"/>
      <c r="K30" s="94"/>
      <c r="L30" s="94"/>
      <c r="M30" s="94"/>
      <c r="N30" s="30"/>
      <c r="O30" s="30"/>
      <c r="P30" s="94">
        <v>0</v>
      </c>
      <c r="Q30" s="30"/>
      <c r="R30" s="52"/>
      <c r="S30" s="47"/>
    </row>
    <row r="31" spans="1:400" s="2" customFormat="1" x14ac:dyDescent="0.25">
      <c r="A31" s="19"/>
      <c r="B31" s="20"/>
      <c r="C31" s="116" t="s">
        <v>27</v>
      </c>
      <c r="D31" s="99" t="s">
        <v>34</v>
      </c>
      <c r="E31" s="93">
        <v>169.53</v>
      </c>
      <c r="F31" s="94">
        <v>5.91</v>
      </c>
      <c r="G31" s="94">
        <f>E31*F31</f>
        <v>1001.9223000000001</v>
      </c>
      <c r="H31" s="94">
        <v>6103.08</v>
      </c>
      <c r="I31" s="94"/>
      <c r="J31" s="94"/>
      <c r="K31" s="94"/>
      <c r="L31" s="94"/>
      <c r="M31" s="94"/>
      <c r="N31" s="30"/>
      <c r="O31" s="30"/>
      <c r="P31" s="94"/>
      <c r="Q31" s="30"/>
      <c r="R31" s="52"/>
      <c r="S31" s="47"/>
    </row>
    <row r="32" spans="1:400" s="2" customFormat="1" ht="38.25" x14ac:dyDescent="0.25">
      <c r="A32" s="17"/>
      <c r="B32" s="18"/>
      <c r="C32" s="123" t="s">
        <v>60</v>
      </c>
      <c r="D32" s="100" t="s">
        <v>36</v>
      </c>
      <c r="E32" s="89">
        <v>86675.304999999993</v>
      </c>
      <c r="F32" s="89"/>
      <c r="G32" s="87">
        <f>SUM(G29:G31)</f>
        <v>183919.39745000002</v>
      </c>
      <c r="H32" s="87">
        <f t="shared" ref="H32" si="5">SUM(H29:H31)</f>
        <v>1523387.4100000004</v>
      </c>
      <c r="I32" s="87"/>
      <c r="J32" s="87"/>
      <c r="K32" s="87"/>
      <c r="L32" s="87"/>
      <c r="M32" s="87"/>
      <c r="N32" s="48"/>
      <c r="O32" s="48"/>
      <c r="P32" s="105">
        <v>470394.5</v>
      </c>
      <c r="Q32" s="48"/>
      <c r="R32" s="49"/>
      <c r="S32" s="50"/>
    </row>
    <row r="33" spans="1:19" s="2" customFormat="1" x14ac:dyDescent="0.25">
      <c r="A33" s="19"/>
      <c r="B33" s="20"/>
      <c r="C33" s="116" t="s">
        <v>60</v>
      </c>
      <c r="D33" s="99" t="s">
        <v>57</v>
      </c>
      <c r="E33" s="93">
        <v>2709.6759999999999</v>
      </c>
      <c r="F33" s="94">
        <v>5.91</v>
      </c>
      <c r="G33" s="94">
        <v>18794.61</v>
      </c>
      <c r="H33" s="94">
        <v>123857.04</v>
      </c>
      <c r="I33" s="94"/>
      <c r="J33" s="94"/>
      <c r="K33" s="94"/>
      <c r="L33" s="191"/>
      <c r="M33" s="94"/>
      <c r="N33" s="30"/>
      <c r="O33" s="30"/>
      <c r="P33" s="106">
        <v>0</v>
      </c>
      <c r="Q33" s="30"/>
      <c r="R33" s="52"/>
      <c r="S33" s="47"/>
    </row>
    <row r="34" spans="1:19" s="2" customFormat="1" x14ac:dyDescent="0.25">
      <c r="A34" s="19"/>
      <c r="B34" s="20"/>
      <c r="C34" s="116" t="s">
        <v>27</v>
      </c>
      <c r="D34" s="99" t="s">
        <v>57</v>
      </c>
      <c r="E34" s="93">
        <v>94</v>
      </c>
      <c r="F34" s="94">
        <v>5.91</v>
      </c>
      <c r="G34" s="94">
        <f>E34*F34</f>
        <v>555.54</v>
      </c>
      <c r="H34" s="94">
        <v>3760</v>
      </c>
      <c r="I34" s="94"/>
      <c r="J34" s="94"/>
      <c r="K34" s="94"/>
      <c r="L34" s="94"/>
      <c r="M34" s="94"/>
      <c r="N34" s="30"/>
      <c r="O34" s="30"/>
      <c r="P34" s="106"/>
      <c r="Q34" s="30"/>
      <c r="R34" s="52"/>
      <c r="S34" s="47"/>
    </row>
    <row r="35" spans="1:19" s="2" customFormat="1" ht="38.25" x14ac:dyDescent="0.25">
      <c r="A35" s="17"/>
      <c r="B35" s="18"/>
      <c r="C35" s="123" t="s">
        <v>60</v>
      </c>
      <c r="D35" s="100" t="s">
        <v>58</v>
      </c>
      <c r="E35" s="89">
        <v>89478.981</v>
      </c>
      <c r="F35" s="89"/>
      <c r="G35" s="87">
        <f>SUM(G32:G34)</f>
        <v>203269.54745000004</v>
      </c>
      <c r="H35" s="87">
        <f t="shared" ref="H35" si="6">SUM(H32:H34)</f>
        <v>1651004.4500000004</v>
      </c>
      <c r="I35" s="87"/>
      <c r="J35" s="87"/>
      <c r="K35" s="87"/>
      <c r="L35" s="87"/>
      <c r="M35" s="87"/>
      <c r="N35" s="48"/>
      <c r="O35" s="48"/>
      <c r="P35" s="105">
        <v>470394.5</v>
      </c>
      <c r="Q35" s="48"/>
      <c r="R35" s="49"/>
      <c r="S35" s="50"/>
    </row>
    <row r="36" spans="1:19" s="2" customFormat="1" x14ac:dyDescent="0.25">
      <c r="A36" s="19"/>
      <c r="B36" s="20"/>
      <c r="C36" s="116" t="s">
        <v>60</v>
      </c>
      <c r="D36" s="99" t="s">
        <v>61</v>
      </c>
      <c r="E36" s="93">
        <v>3327.2719999999999</v>
      </c>
      <c r="F36" s="94">
        <v>5.91</v>
      </c>
      <c r="G36" s="94">
        <f>E36*F36</f>
        <v>19664.177520000001</v>
      </c>
      <c r="H36" s="94">
        <v>133090.88</v>
      </c>
      <c r="I36" s="94"/>
      <c r="J36" s="94"/>
      <c r="K36" s="94"/>
      <c r="L36" s="94"/>
      <c r="M36" s="94"/>
      <c r="N36" s="30"/>
      <c r="O36" s="30"/>
      <c r="P36" s="106">
        <v>0</v>
      </c>
      <c r="Q36" s="30"/>
      <c r="R36" s="52"/>
      <c r="S36" s="47"/>
    </row>
    <row r="37" spans="1:19" s="2" customFormat="1" x14ac:dyDescent="0.25">
      <c r="A37" s="19"/>
      <c r="B37" s="20"/>
      <c r="C37" s="102" t="s">
        <v>27</v>
      </c>
      <c r="D37" s="99" t="s">
        <v>61</v>
      </c>
      <c r="E37" s="93">
        <v>131.22</v>
      </c>
      <c r="F37" s="94">
        <v>5.91</v>
      </c>
      <c r="G37" s="94">
        <f>E37*F37</f>
        <v>775.51020000000005</v>
      </c>
      <c r="H37" s="94">
        <v>5248.8</v>
      </c>
      <c r="I37" s="94"/>
      <c r="J37" s="94"/>
      <c r="K37" s="94"/>
      <c r="L37" s="94"/>
      <c r="M37" s="94"/>
      <c r="N37" s="30"/>
      <c r="O37" s="30"/>
      <c r="P37" s="106"/>
      <c r="Q37" s="30"/>
      <c r="R37" s="52"/>
      <c r="S37" s="47"/>
    </row>
    <row r="38" spans="1:19" s="2" customFormat="1" ht="38.25" x14ac:dyDescent="0.25">
      <c r="A38" s="17"/>
      <c r="B38" s="18"/>
      <c r="C38" s="103" t="s">
        <v>60</v>
      </c>
      <c r="D38" s="100" t="s">
        <v>63</v>
      </c>
      <c r="E38" s="89">
        <v>92937.472999999998</v>
      </c>
      <c r="F38" s="27"/>
      <c r="G38" s="87">
        <f>SUM(G35:G37)</f>
        <v>223709.23517000003</v>
      </c>
      <c r="H38" s="87">
        <f t="shared" ref="H38" si="7">SUM(H35:H37)</f>
        <v>1789344.1300000006</v>
      </c>
      <c r="I38" s="87"/>
      <c r="J38" s="87"/>
      <c r="K38" s="87"/>
      <c r="L38" s="28"/>
      <c r="M38" s="28"/>
      <c r="N38" s="48"/>
      <c r="O38" s="48"/>
      <c r="P38" s="105">
        <v>470394.5</v>
      </c>
      <c r="Q38" s="48"/>
      <c r="R38" s="49"/>
      <c r="S38" s="50"/>
    </row>
    <row r="39" spans="1:19" s="2" customFormat="1" x14ac:dyDescent="0.25">
      <c r="A39" s="19"/>
      <c r="B39" s="20"/>
      <c r="C39" s="102" t="s">
        <v>60</v>
      </c>
      <c r="D39" s="99" t="s">
        <v>64</v>
      </c>
      <c r="E39" s="93">
        <v>4103.95</v>
      </c>
      <c r="F39" s="94">
        <v>5.91</v>
      </c>
      <c r="G39" s="94">
        <f>E39*F39</f>
        <v>24254.344499999999</v>
      </c>
      <c r="H39" s="94">
        <v>164158</v>
      </c>
      <c r="I39" s="94"/>
      <c r="J39" s="94"/>
      <c r="K39" s="94"/>
      <c r="L39" s="29"/>
      <c r="M39" s="29"/>
      <c r="N39" s="30"/>
      <c r="O39" s="30"/>
      <c r="P39" s="106">
        <v>298929.59999999998</v>
      </c>
      <c r="Q39" s="30"/>
      <c r="R39" s="52"/>
      <c r="S39" s="47"/>
    </row>
    <row r="40" spans="1:19" s="2" customFormat="1" ht="41.25" customHeight="1" x14ac:dyDescent="0.25">
      <c r="A40" s="19"/>
      <c r="B40" s="20"/>
      <c r="C40" s="102" t="s">
        <v>37</v>
      </c>
      <c r="D40" s="104"/>
      <c r="E40" s="93">
        <v>84.14</v>
      </c>
      <c r="F40" s="94">
        <v>0</v>
      </c>
      <c r="G40" s="94">
        <f t="shared" ref="G40:G41" si="8">E40*F40</f>
        <v>0</v>
      </c>
      <c r="H40" s="94">
        <v>0</v>
      </c>
      <c r="I40" s="94"/>
      <c r="J40" s="94"/>
      <c r="K40" s="94"/>
      <c r="L40" s="29"/>
      <c r="M40" s="29"/>
      <c r="N40" s="30"/>
      <c r="O40" s="30"/>
      <c r="P40" s="106"/>
      <c r="Q40" s="30"/>
      <c r="R40" s="52"/>
      <c r="S40" s="47"/>
    </row>
    <row r="41" spans="1:19" s="2" customFormat="1" x14ac:dyDescent="0.25">
      <c r="A41" s="19"/>
      <c r="B41" s="20"/>
      <c r="C41" s="102" t="s">
        <v>27</v>
      </c>
      <c r="D41" s="99" t="s">
        <v>64</v>
      </c>
      <c r="E41" s="93">
        <v>113.681</v>
      </c>
      <c r="F41" s="94">
        <v>5.91</v>
      </c>
      <c r="G41" s="94">
        <f t="shared" si="8"/>
        <v>671.85470999999995</v>
      </c>
      <c r="H41" s="94">
        <v>4547.24</v>
      </c>
      <c r="I41" s="94"/>
      <c r="J41" s="94"/>
      <c r="K41" s="94"/>
      <c r="L41" s="29"/>
      <c r="M41" s="29"/>
      <c r="N41" s="30"/>
      <c r="O41" s="30"/>
      <c r="P41" s="106"/>
      <c r="Q41" s="30"/>
      <c r="R41" s="52"/>
      <c r="S41" s="47"/>
    </row>
    <row r="42" spans="1:19" s="2" customFormat="1" ht="40.5" customHeight="1" x14ac:dyDescent="0.25">
      <c r="A42" s="17"/>
      <c r="B42" s="18"/>
      <c r="C42" s="110" t="s">
        <v>60</v>
      </c>
      <c r="D42" s="113" t="s">
        <v>65</v>
      </c>
      <c r="E42" s="89">
        <v>97239.244000000006</v>
      </c>
      <c r="F42" s="111"/>
      <c r="G42" s="87">
        <f>SUM(G38:G41)</f>
        <v>248635.43438000005</v>
      </c>
      <c r="H42" s="87">
        <f t="shared" ref="H42" si="9">SUM(H38:H41)</f>
        <v>1958049.3700000006</v>
      </c>
      <c r="I42" s="87"/>
      <c r="J42" s="87"/>
      <c r="K42" s="87"/>
      <c r="L42" s="112"/>
      <c r="M42" s="112"/>
      <c r="N42" s="76"/>
      <c r="O42" s="76"/>
      <c r="P42" s="105">
        <v>769324.1</v>
      </c>
      <c r="Q42" s="76"/>
      <c r="R42" s="49"/>
      <c r="S42" s="50"/>
    </row>
    <row r="43" spans="1:19" s="2" customFormat="1" x14ac:dyDescent="0.25">
      <c r="A43" s="19"/>
      <c r="B43" s="20"/>
      <c r="C43" s="175" t="s">
        <v>60</v>
      </c>
      <c r="D43" s="99" t="s">
        <v>70</v>
      </c>
      <c r="E43" s="93">
        <v>3514.6849999999999</v>
      </c>
      <c r="F43" s="94">
        <v>5.91</v>
      </c>
      <c r="G43" s="94">
        <v>18849.740000000002</v>
      </c>
      <c r="H43" s="94">
        <v>127578.6</v>
      </c>
      <c r="I43" s="106"/>
      <c r="J43" s="94"/>
      <c r="K43" s="94"/>
      <c r="L43" s="176"/>
      <c r="M43" s="176"/>
      <c r="N43" s="73"/>
      <c r="O43" s="73"/>
      <c r="P43" s="106">
        <v>0</v>
      </c>
      <c r="Q43" s="73"/>
      <c r="R43" s="52"/>
      <c r="S43" s="47"/>
    </row>
    <row r="44" spans="1:19" s="2" customFormat="1" x14ac:dyDescent="0.25">
      <c r="A44" s="19"/>
      <c r="B44" s="20"/>
      <c r="C44" s="175" t="s">
        <v>27</v>
      </c>
      <c r="D44" s="99" t="s">
        <v>70</v>
      </c>
      <c r="E44" s="93">
        <v>214.9</v>
      </c>
      <c r="F44" s="94">
        <v>5.91</v>
      </c>
      <c r="G44" s="94">
        <f>SUM(E44*F44)</f>
        <v>1270.059</v>
      </c>
      <c r="H44" s="94">
        <f>SUM(E44*40)</f>
        <v>8596</v>
      </c>
      <c r="I44" s="94"/>
      <c r="J44" s="94"/>
      <c r="K44" s="94"/>
      <c r="L44" s="176"/>
      <c r="M44" s="176"/>
      <c r="N44" s="73"/>
      <c r="O44" s="73"/>
      <c r="P44" s="177"/>
      <c r="Q44" s="73"/>
      <c r="R44" s="52"/>
      <c r="S44" s="47"/>
    </row>
    <row r="45" spans="1:19" s="2" customFormat="1" ht="40.5" customHeight="1" x14ac:dyDescent="0.25">
      <c r="A45" s="17"/>
      <c r="B45" s="18"/>
      <c r="C45" s="110" t="s">
        <v>60</v>
      </c>
      <c r="D45" s="113" t="s">
        <v>69</v>
      </c>
      <c r="E45" s="89">
        <f>SUM(E42:E44)</f>
        <v>100968.829</v>
      </c>
      <c r="F45" s="89"/>
      <c r="G45" s="87">
        <f t="shared" ref="G45:H45" si="10">SUM(G42:G44)</f>
        <v>268755.23338000005</v>
      </c>
      <c r="H45" s="87">
        <f t="shared" si="10"/>
        <v>2094223.9700000007</v>
      </c>
      <c r="I45" s="87"/>
      <c r="J45" s="87"/>
      <c r="K45" s="87"/>
      <c r="L45" s="112"/>
      <c r="M45" s="112"/>
      <c r="N45" s="76"/>
      <c r="O45" s="76"/>
      <c r="P45" s="105">
        <v>769324.1</v>
      </c>
      <c r="Q45" s="76"/>
      <c r="R45" s="49"/>
      <c r="S45" s="50"/>
    </row>
    <row r="46" spans="1:19" s="2" customFormat="1" ht="14.25" customHeight="1" x14ac:dyDescent="0.25">
      <c r="A46" s="19"/>
      <c r="B46" s="20"/>
      <c r="C46" s="175" t="s">
        <v>60</v>
      </c>
      <c r="D46" s="190" t="s">
        <v>71</v>
      </c>
      <c r="E46" s="93">
        <v>2695.7669999999998</v>
      </c>
      <c r="F46" s="94">
        <v>5.91</v>
      </c>
      <c r="G46" s="94">
        <v>15227.24</v>
      </c>
      <c r="H46" s="94">
        <v>115943.58</v>
      </c>
      <c r="I46" s="94"/>
      <c r="J46" s="94"/>
      <c r="K46" s="94"/>
      <c r="L46" s="176"/>
      <c r="M46" s="176"/>
      <c r="N46" s="73"/>
      <c r="O46" s="73"/>
      <c r="P46" s="106">
        <v>0</v>
      </c>
      <c r="Q46" s="73"/>
      <c r="R46" s="52"/>
      <c r="S46" s="47"/>
    </row>
    <row r="47" spans="1:19" s="2" customFormat="1" ht="15.75" customHeight="1" x14ac:dyDescent="0.25">
      <c r="A47" s="19"/>
      <c r="B47" s="20"/>
      <c r="C47" s="175" t="s">
        <v>27</v>
      </c>
      <c r="D47" s="190" t="s">
        <v>71</v>
      </c>
      <c r="E47" s="93">
        <v>118.06</v>
      </c>
      <c r="F47" s="94">
        <v>5.91</v>
      </c>
      <c r="G47" s="94">
        <v>697.73400000000004</v>
      </c>
      <c r="H47" s="94">
        <v>5312.7</v>
      </c>
      <c r="I47" s="94"/>
      <c r="J47" s="94"/>
      <c r="K47" s="94"/>
      <c r="L47" s="176"/>
      <c r="M47" s="176"/>
      <c r="N47" s="73"/>
      <c r="O47" s="73"/>
      <c r="P47" s="106"/>
      <c r="Q47" s="73"/>
      <c r="R47" s="52"/>
      <c r="S47" s="47"/>
    </row>
    <row r="48" spans="1:19" s="2" customFormat="1" ht="43.5" customHeight="1" x14ac:dyDescent="0.25">
      <c r="A48" s="17"/>
      <c r="B48" s="18"/>
      <c r="C48" s="110" t="s">
        <v>60</v>
      </c>
      <c r="D48" s="113" t="s">
        <v>72</v>
      </c>
      <c r="E48" s="89">
        <f>SUM(E45:E47)</f>
        <v>103782.65599999999</v>
      </c>
      <c r="F48" s="89"/>
      <c r="G48" s="87">
        <f t="shared" ref="G48" si="11">SUM(G45:G47)</f>
        <v>284680.20738000004</v>
      </c>
      <c r="H48" s="87">
        <f>SUM(H45:H47)</f>
        <v>2215480.2500000009</v>
      </c>
      <c r="I48" s="87"/>
      <c r="J48" s="87"/>
      <c r="K48" s="87"/>
      <c r="L48" s="112"/>
      <c r="M48" s="112"/>
      <c r="N48" s="76"/>
      <c r="O48" s="76"/>
      <c r="P48" s="105">
        <v>769324.1</v>
      </c>
      <c r="Q48" s="76"/>
      <c r="R48" s="49"/>
      <c r="S48" s="50"/>
    </row>
    <row r="49" spans="1:19" s="2" customFormat="1" ht="18" customHeight="1" x14ac:dyDescent="0.25">
      <c r="A49" s="19"/>
      <c r="B49" s="20"/>
      <c r="C49" s="175" t="s">
        <v>60</v>
      </c>
      <c r="D49" s="190" t="s">
        <v>73</v>
      </c>
      <c r="E49" s="93">
        <v>3595.9180000000001</v>
      </c>
      <c r="F49" s="94">
        <v>5.91</v>
      </c>
      <c r="G49" s="94">
        <v>21049.77</v>
      </c>
      <c r="H49" s="94">
        <v>164351.93</v>
      </c>
      <c r="I49" s="94"/>
      <c r="J49" s="94"/>
      <c r="K49" s="94"/>
      <c r="L49" s="176"/>
      <c r="M49" s="176"/>
      <c r="N49" s="73"/>
      <c r="O49" s="73"/>
      <c r="P49" s="106">
        <v>121158</v>
      </c>
      <c r="Q49" s="73"/>
      <c r="R49" s="52"/>
      <c r="S49" s="47"/>
    </row>
    <row r="50" spans="1:19" s="2" customFormat="1" ht="17.25" customHeight="1" x14ac:dyDescent="0.25">
      <c r="A50" s="19"/>
      <c r="B50" s="20"/>
      <c r="C50" s="175" t="s">
        <v>27</v>
      </c>
      <c r="D50" s="190" t="s">
        <v>73</v>
      </c>
      <c r="E50" s="93">
        <v>148.76</v>
      </c>
      <c r="F50" s="94">
        <v>5.91</v>
      </c>
      <c r="G50" s="94">
        <f>E50*F50</f>
        <v>879.17160000000001</v>
      </c>
      <c r="H50" s="94">
        <f>E50*45</f>
        <v>6694.2</v>
      </c>
      <c r="I50" s="94"/>
      <c r="J50" s="94"/>
      <c r="K50" s="94"/>
      <c r="L50" s="176"/>
      <c r="M50" s="176"/>
      <c r="N50" s="73"/>
      <c r="O50" s="73"/>
      <c r="P50" s="106">
        <v>0</v>
      </c>
      <c r="Q50" s="73"/>
      <c r="R50" s="52"/>
      <c r="S50" s="47"/>
    </row>
    <row r="51" spans="1:19" s="2" customFormat="1" ht="43.5" customHeight="1" x14ac:dyDescent="0.25">
      <c r="A51" s="17"/>
      <c r="B51" s="18"/>
      <c r="C51" s="110" t="s">
        <v>60</v>
      </c>
      <c r="D51" s="113" t="s">
        <v>74</v>
      </c>
      <c r="E51" s="89">
        <f>SUM(E48:E50)</f>
        <v>107527.33399999999</v>
      </c>
      <c r="F51" s="89"/>
      <c r="G51" s="87">
        <f t="shared" ref="G51:H51" si="12">SUM(G48:G50)</f>
        <v>306609.14898000006</v>
      </c>
      <c r="H51" s="87">
        <f t="shared" si="12"/>
        <v>2386526.3800000013</v>
      </c>
      <c r="I51" s="87"/>
      <c r="J51" s="87"/>
      <c r="K51" s="87"/>
      <c r="L51" s="112"/>
      <c r="M51" s="112"/>
      <c r="N51" s="76"/>
      <c r="O51" s="76"/>
      <c r="P51" s="105">
        <f>SUM(P48:P50)</f>
        <v>890482.1</v>
      </c>
      <c r="Q51" s="76"/>
      <c r="R51" s="49"/>
      <c r="S51" s="50"/>
    </row>
    <row r="52" spans="1:19" s="2" customFormat="1" ht="18.75" customHeight="1" x14ac:dyDescent="0.25">
      <c r="A52" s="19"/>
      <c r="B52" s="20"/>
      <c r="C52" s="175" t="s">
        <v>60</v>
      </c>
      <c r="D52" s="99" t="s">
        <v>76</v>
      </c>
      <c r="E52" s="93">
        <v>3783.8969999999999</v>
      </c>
      <c r="F52" s="94">
        <v>5.91</v>
      </c>
      <c r="G52" s="94">
        <f>E52*F52</f>
        <v>22362.831269999999</v>
      </c>
      <c r="H52" s="94">
        <f>E52*45</f>
        <v>170275.36499999999</v>
      </c>
      <c r="I52" s="94"/>
      <c r="J52" s="94"/>
      <c r="K52" s="94"/>
      <c r="L52" s="176"/>
      <c r="M52" s="176"/>
      <c r="N52" s="73"/>
      <c r="O52" s="73"/>
      <c r="P52" s="106">
        <v>0</v>
      </c>
      <c r="Q52" s="73"/>
      <c r="R52" s="52"/>
      <c r="S52" s="47"/>
    </row>
    <row r="53" spans="1:19" s="2" customFormat="1" ht="21.75" customHeight="1" x14ac:dyDescent="0.25">
      <c r="A53" s="19"/>
      <c r="B53" s="20"/>
      <c r="C53" s="175" t="s">
        <v>27</v>
      </c>
      <c r="D53" s="99" t="s">
        <v>76</v>
      </c>
      <c r="E53" s="93">
        <v>162.16</v>
      </c>
      <c r="F53" s="94">
        <v>5.91</v>
      </c>
      <c r="G53" s="94">
        <f t="shared" ref="G53" si="13">E53*F53</f>
        <v>958.36559999999997</v>
      </c>
      <c r="H53" s="94">
        <f t="shared" ref="H53" si="14">E53*45</f>
        <v>7297.2</v>
      </c>
      <c r="I53" s="94"/>
      <c r="J53" s="94"/>
      <c r="K53" s="94"/>
      <c r="L53" s="176"/>
      <c r="M53" s="176"/>
      <c r="N53" s="73"/>
      <c r="O53" s="73"/>
      <c r="P53" s="106"/>
      <c r="Q53" s="73"/>
      <c r="R53" s="52"/>
      <c r="S53" s="47"/>
    </row>
    <row r="54" spans="1:19" s="2" customFormat="1" ht="43.5" customHeight="1" x14ac:dyDescent="0.25">
      <c r="A54" s="19"/>
      <c r="B54" s="20"/>
      <c r="C54" s="175" t="s">
        <v>37</v>
      </c>
      <c r="D54" s="190"/>
      <c r="E54" s="93">
        <v>88.7</v>
      </c>
      <c r="F54" s="94">
        <v>0</v>
      </c>
      <c r="G54" s="94">
        <v>0</v>
      </c>
      <c r="H54" s="94">
        <v>0</v>
      </c>
      <c r="I54" s="94"/>
      <c r="J54" s="94"/>
      <c r="K54" s="94"/>
      <c r="L54" s="176"/>
      <c r="M54" s="176"/>
      <c r="N54" s="73"/>
      <c r="O54" s="73"/>
      <c r="P54" s="106"/>
      <c r="Q54" s="73"/>
      <c r="R54" s="52"/>
      <c r="S54" s="47"/>
    </row>
    <row r="55" spans="1:19" s="2" customFormat="1" ht="43.5" customHeight="1" x14ac:dyDescent="0.25">
      <c r="A55" s="17"/>
      <c r="B55" s="18"/>
      <c r="C55" s="110" t="s">
        <v>60</v>
      </c>
      <c r="D55" s="113" t="s">
        <v>77</v>
      </c>
      <c r="E55" s="89">
        <f>SUM(E51:E54)</f>
        <v>111562.09099999999</v>
      </c>
      <c r="F55" s="89"/>
      <c r="G55" s="87">
        <f>SUM(G51:G54)</f>
        <v>329930.3458500001</v>
      </c>
      <c r="H55" s="87">
        <f>SUM(H51:H54)</f>
        <v>2564098.9450000012</v>
      </c>
      <c r="I55" s="87"/>
      <c r="J55" s="87"/>
      <c r="K55" s="87"/>
      <c r="L55" s="112"/>
      <c r="M55" s="112"/>
      <c r="N55" s="76"/>
      <c r="O55" s="76"/>
      <c r="P55" s="105">
        <f>SUM(P51:P54)</f>
        <v>890482.1</v>
      </c>
      <c r="Q55" s="76"/>
      <c r="R55" s="49"/>
      <c r="S55" s="50"/>
    </row>
    <row r="56" spans="1:19" s="2" customFormat="1" ht="21.75" customHeight="1" x14ac:dyDescent="0.25">
      <c r="A56" s="19"/>
      <c r="B56" s="20"/>
      <c r="C56" s="175" t="s">
        <v>60</v>
      </c>
      <c r="D56" s="99" t="s">
        <v>78</v>
      </c>
      <c r="E56" s="93">
        <v>3029.567</v>
      </c>
      <c r="F56" s="94">
        <v>5.91</v>
      </c>
      <c r="G56" s="94">
        <f>E56*F56</f>
        <v>17904.740969999999</v>
      </c>
      <c r="H56" s="94">
        <f>E56*45</f>
        <v>136330.51500000001</v>
      </c>
      <c r="I56" s="94"/>
      <c r="J56" s="94"/>
      <c r="K56" s="94"/>
      <c r="L56" s="176"/>
      <c r="M56" s="176"/>
      <c r="N56" s="73"/>
      <c r="O56" s="73"/>
      <c r="P56" s="106">
        <v>15000</v>
      </c>
      <c r="Q56" s="73"/>
      <c r="R56" s="52"/>
      <c r="S56" s="47"/>
    </row>
    <row r="57" spans="1:19" s="2" customFormat="1" ht="22.5" customHeight="1" x14ac:dyDescent="0.25">
      <c r="A57" s="19"/>
      <c r="B57" s="20"/>
      <c r="C57" s="175" t="s">
        <v>27</v>
      </c>
      <c r="D57" s="99" t="s">
        <v>78</v>
      </c>
      <c r="E57" s="93">
        <v>184.92</v>
      </c>
      <c r="F57" s="94">
        <v>5.91</v>
      </c>
      <c r="G57" s="94">
        <f>E57*F57</f>
        <v>1092.8771999999999</v>
      </c>
      <c r="H57" s="94">
        <f>E57*45</f>
        <v>8321.4</v>
      </c>
      <c r="I57" s="94"/>
      <c r="J57" s="94"/>
      <c r="K57" s="94"/>
      <c r="L57" s="176"/>
      <c r="M57" s="176"/>
      <c r="N57" s="73"/>
      <c r="O57" s="73"/>
      <c r="P57" s="106"/>
      <c r="Q57" s="73"/>
      <c r="R57" s="52"/>
      <c r="S57" s="47"/>
    </row>
    <row r="58" spans="1:19" s="2" customFormat="1" ht="43.5" customHeight="1" x14ac:dyDescent="0.25">
      <c r="A58" s="17"/>
      <c r="B58" s="18"/>
      <c r="C58" s="110" t="s">
        <v>60</v>
      </c>
      <c r="D58" s="113" t="s">
        <v>79</v>
      </c>
      <c r="E58" s="89">
        <f>SUM(E55:E57)</f>
        <v>114776.57799999998</v>
      </c>
      <c r="F58" s="89"/>
      <c r="G58" s="87">
        <f t="shared" ref="G58:H58" si="15">SUM(G55:G57)</f>
        <v>348927.96402000007</v>
      </c>
      <c r="H58" s="87">
        <f t="shared" si="15"/>
        <v>2708750.8600000013</v>
      </c>
      <c r="I58" s="87"/>
      <c r="J58" s="87"/>
      <c r="K58" s="87"/>
      <c r="L58" s="87"/>
      <c r="M58" s="87"/>
      <c r="N58" s="87"/>
      <c r="O58" s="87"/>
      <c r="P58" s="87">
        <f t="shared" ref="P58" si="16">SUM(P55:P57)</f>
        <v>905482.1</v>
      </c>
      <c r="Q58" s="76"/>
      <c r="R58" s="49"/>
      <c r="S58" s="50"/>
    </row>
    <row r="59" spans="1:19" s="2" customFormat="1" ht="25.5" customHeight="1" x14ac:dyDescent="0.25">
      <c r="A59" s="19"/>
      <c r="B59" s="20"/>
      <c r="C59" s="175" t="s">
        <v>60</v>
      </c>
      <c r="D59" s="99" t="s">
        <v>82</v>
      </c>
      <c r="E59" s="93">
        <v>2764.011</v>
      </c>
      <c r="F59" s="94">
        <v>5.91</v>
      </c>
      <c r="G59" s="94">
        <f>E59*F59</f>
        <v>16335.30501</v>
      </c>
      <c r="H59" s="94">
        <f>E59*57</f>
        <v>157548.62700000001</v>
      </c>
      <c r="I59" s="94"/>
      <c r="J59" s="94"/>
      <c r="K59" s="94"/>
      <c r="L59" s="94"/>
      <c r="M59" s="94"/>
      <c r="N59" s="94"/>
      <c r="O59" s="94"/>
      <c r="P59" s="94">
        <v>297332.40000000002</v>
      </c>
      <c r="Q59" s="73"/>
      <c r="R59" s="52"/>
      <c r="S59" s="47"/>
    </row>
    <row r="60" spans="1:19" s="2" customFormat="1" ht="26.25" customHeight="1" x14ac:dyDescent="0.25">
      <c r="A60" s="19"/>
      <c r="B60" s="20"/>
      <c r="C60" s="175" t="s">
        <v>27</v>
      </c>
      <c r="D60" s="99" t="s">
        <v>82</v>
      </c>
      <c r="E60" s="93">
        <v>108.92</v>
      </c>
      <c r="F60" s="94">
        <v>5.91</v>
      </c>
      <c r="G60" s="94">
        <f>E60*F60</f>
        <v>643.71720000000005</v>
      </c>
      <c r="H60" s="94">
        <f>E60*57</f>
        <v>6208.4400000000005</v>
      </c>
      <c r="I60" s="94"/>
      <c r="J60" s="94"/>
      <c r="K60" s="94"/>
      <c r="L60" s="94"/>
      <c r="M60" s="94"/>
      <c r="N60" s="94"/>
      <c r="O60" s="94"/>
      <c r="P60" s="94"/>
      <c r="Q60" s="73"/>
      <c r="R60" s="52"/>
      <c r="S60" s="47"/>
    </row>
    <row r="61" spans="1:19" s="2" customFormat="1" ht="43.5" customHeight="1" x14ac:dyDescent="0.25">
      <c r="A61" s="17"/>
      <c r="B61" s="18"/>
      <c r="C61" s="110" t="s">
        <v>60</v>
      </c>
      <c r="D61" s="113" t="s">
        <v>81</v>
      </c>
      <c r="E61" s="89">
        <f>SUM(E58:E60)</f>
        <v>117649.50899999998</v>
      </c>
      <c r="F61" s="89"/>
      <c r="G61" s="87">
        <f>SUM(G58:G60)</f>
        <v>365906.9862300001</v>
      </c>
      <c r="H61" s="87">
        <f t="shared" ref="H61" si="17">SUM(H58:H60)</f>
        <v>2872507.9270000011</v>
      </c>
      <c r="I61" s="87"/>
      <c r="J61" s="87"/>
      <c r="K61" s="87"/>
      <c r="L61" s="87"/>
      <c r="M61" s="87"/>
      <c r="N61" s="87"/>
      <c r="O61" s="87"/>
      <c r="P61" s="87">
        <f>SUM(P58:P60)</f>
        <v>1202814.5</v>
      </c>
      <c r="Q61" s="87"/>
      <c r="R61" s="49"/>
      <c r="S61" s="50"/>
    </row>
    <row r="62" spans="1:19" s="2" customFormat="1" ht="27.75" customHeight="1" x14ac:dyDescent="0.25">
      <c r="A62" s="19"/>
      <c r="B62" s="20"/>
      <c r="C62" s="175" t="s">
        <v>60</v>
      </c>
      <c r="D62" s="99" t="s">
        <v>84</v>
      </c>
      <c r="E62" s="93">
        <v>3070.7260000000001</v>
      </c>
      <c r="F62" s="94">
        <v>5.91</v>
      </c>
      <c r="G62" s="94">
        <f>E62*F62</f>
        <v>18147.990659999999</v>
      </c>
      <c r="H62" s="94">
        <f>E62*57</f>
        <v>175031.38200000001</v>
      </c>
      <c r="I62" s="94"/>
      <c r="J62" s="94"/>
      <c r="K62" s="94"/>
      <c r="L62" s="94"/>
      <c r="M62" s="94"/>
      <c r="N62" s="94"/>
      <c r="O62" s="94"/>
      <c r="P62" s="94">
        <v>35640</v>
      </c>
      <c r="Q62" s="94"/>
      <c r="R62" s="52"/>
      <c r="S62" s="47"/>
    </row>
    <row r="63" spans="1:19" s="2" customFormat="1" ht="26.25" customHeight="1" x14ac:dyDescent="0.25">
      <c r="A63" s="19"/>
      <c r="B63" s="20"/>
      <c r="C63" s="175" t="s">
        <v>27</v>
      </c>
      <c r="D63" s="99" t="s">
        <v>85</v>
      </c>
      <c r="E63" s="93">
        <v>117.6</v>
      </c>
      <c r="F63" s="94">
        <v>5.91</v>
      </c>
      <c r="G63" s="94">
        <f>E63*F63</f>
        <v>695.01599999999996</v>
      </c>
      <c r="H63" s="94">
        <f>E63*57</f>
        <v>6703.2</v>
      </c>
      <c r="I63" s="94"/>
      <c r="J63" s="94"/>
      <c r="K63" s="94"/>
      <c r="L63" s="94"/>
      <c r="M63" s="94"/>
      <c r="N63" s="94"/>
      <c r="O63" s="94"/>
      <c r="P63" s="94"/>
      <c r="Q63" s="94"/>
      <c r="R63" s="52"/>
      <c r="S63" s="47"/>
    </row>
    <row r="64" spans="1:19" s="2" customFormat="1" ht="26.25" customHeight="1" x14ac:dyDescent="0.25">
      <c r="A64" s="19"/>
      <c r="B64" s="20"/>
      <c r="C64" s="175" t="s">
        <v>87</v>
      </c>
      <c r="D64" s="99"/>
      <c r="E64" s="93">
        <v>45.96</v>
      </c>
      <c r="F64" s="94"/>
      <c r="G64" s="94">
        <f>45.96*5.91</f>
        <v>271.62360000000001</v>
      </c>
      <c r="H64" s="94">
        <f>45.96*57</f>
        <v>2619.7200000000003</v>
      </c>
      <c r="I64" s="94"/>
      <c r="J64" s="94"/>
      <c r="K64" s="94"/>
      <c r="L64" s="94"/>
      <c r="M64" s="94"/>
      <c r="N64" s="94"/>
      <c r="O64" s="94"/>
      <c r="P64" s="94"/>
      <c r="Q64" s="94"/>
      <c r="R64" s="52"/>
      <c r="S64" s="47"/>
    </row>
    <row r="65" spans="1:19" s="2" customFormat="1" ht="26.25" customHeight="1" x14ac:dyDescent="0.25">
      <c r="A65" s="19"/>
      <c r="B65" s="20"/>
      <c r="C65" s="175" t="s">
        <v>60</v>
      </c>
      <c r="D65" s="99"/>
      <c r="E65" s="93"/>
      <c r="F65" s="94"/>
      <c r="G65" s="94"/>
      <c r="H65" s="94">
        <v>108119.56</v>
      </c>
      <c r="I65" s="94"/>
      <c r="J65" s="94"/>
      <c r="K65" s="94"/>
      <c r="L65" s="94"/>
      <c r="M65" s="94"/>
      <c r="N65" s="94"/>
      <c r="O65" s="94"/>
      <c r="P65" s="94"/>
      <c r="Q65" s="94"/>
      <c r="R65" s="52"/>
      <c r="S65" s="212" t="s">
        <v>88</v>
      </c>
    </row>
    <row r="66" spans="1:19" s="2" customFormat="1" ht="43.5" customHeight="1" x14ac:dyDescent="0.25">
      <c r="A66" s="17"/>
      <c r="B66" s="18"/>
      <c r="C66" s="110" t="s">
        <v>60</v>
      </c>
      <c r="D66" s="113" t="s">
        <v>86</v>
      </c>
      <c r="E66" s="89">
        <f>SUM(E61:E64)</f>
        <v>120883.79499999998</v>
      </c>
      <c r="F66" s="89"/>
      <c r="G66" s="87">
        <v>385021.62</v>
      </c>
      <c r="H66" s="87">
        <f>SUM(H61:H65)</f>
        <v>3164981.7890000017</v>
      </c>
      <c r="I66" s="87"/>
      <c r="J66" s="87"/>
      <c r="K66" s="87"/>
      <c r="L66" s="87"/>
      <c r="M66" s="87"/>
      <c r="N66" s="87"/>
      <c r="O66" s="87"/>
      <c r="P66" s="87">
        <f>SUM(P61:P62)</f>
        <v>1238454.5</v>
      </c>
      <c r="Q66" s="87"/>
      <c r="R66" s="49"/>
      <c r="S66" s="50"/>
    </row>
    <row r="67" spans="1:19" s="2" customFormat="1" ht="29.25" customHeight="1" x14ac:dyDescent="0.25">
      <c r="A67" s="19"/>
      <c r="B67" s="20"/>
      <c r="C67" s="175" t="s">
        <v>60</v>
      </c>
      <c r="D67" s="99" t="s">
        <v>89</v>
      </c>
      <c r="E67" s="93">
        <v>3693.1680000000001</v>
      </c>
      <c r="F67" s="94">
        <v>5.91</v>
      </c>
      <c r="G67" s="94">
        <f>E67*F67</f>
        <v>21826.622880000003</v>
      </c>
      <c r="H67" s="94">
        <f>E67*57</f>
        <v>210510.576</v>
      </c>
      <c r="I67" s="94"/>
      <c r="J67" s="94"/>
      <c r="K67" s="94"/>
      <c r="L67" s="94"/>
      <c r="M67" s="94"/>
      <c r="N67" s="94"/>
      <c r="O67" s="94"/>
      <c r="P67" s="94">
        <v>323328.59999999998</v>
      </c>
      <c r="Q67" s="94"/>
      <c r="R67" s="52"/>
      <c r="S67" s="47"/>
    </row>
    <row r="68" spans="1:19" s="2" customFormat="1" ht="27.75" customHeight="1" x14ac:dyDescent="0.25">
      <c r="A68" s="19"/>
      <c r="B68" s="20"/>
      <c r="C68" s="175" t="s">
        <v>27</v>
      </c>
      <c r="D68" s="99" t="s">
        <v>89</v>
      </c>
      <c r="E68" s="93">
        <v>215.94</v>
      </c>
      <c r="F68" s="94">
        <v>5.91</v>
      </c>
      <c r="G68" s="94">
        <f>E68*F68</f>
        <v>1276.2054000000001</v>
      </c>
      <c r="H68" s="94">
        <f>E68*57</f>
        <v>12308.58</v>
      </c>
      <c r="I68" s="94"/>
      <c r="J68" s="94"/>
      <c r="K68" s="94"/>
      <c r="L68" s="94"/>
      <c r="M68" s="94"/>
      <c r="N68" s="94"/>
      <c r="O68" s="94"/>
      <c r="P68" s="94"/>
      <c r="Q68" s="94"/>
      <c r="R68" s="52"/>
      <c r="S68" s="47"/>
    </row>
    <row r="69" spans="1:19" s="2" customFormat="1" ht="43.5" customHeight="1" x14ac:dyDescent="0.25">
      <c r="A69" s="19"/>
      <c r="B69" s="20"/>
      <c r="C69" s="175" t="s">
        <v>37</v>
      </c>
      <c r="D69" s="216"/>
      <c r="E69" s="93">
        <v>88.7</v>
      </c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52"/>
      <c r="S69" s="47"/>
    </row>
    <row r="70" spans="1:19" s="2" customFormat="1" ht="43.5" customHeight="1" x14ac:dyDescent="0.25">
      <c r="A70" s="17"/>
      <c r="B70" s="18"/>
      <c r="C70" s="110" t="s">
        <v>60</v>
      </c>
      <c r="D70" s="113" t="s">
        <v>90</v>
      </c>
      <c r="E70" s="89">
        <f>SUM(E66:E69)</f>
        <v>124881.60299999999</v>
      </c>
      <c r="F70" s="89"/>
      <c r="G70" s="87">
        <f t="shared" ref="G70:P70" si="18">SUM(G66:G69)</f>
        <v>408124.44827999995</v>
      </c>
      <c r="H70" s="87">
        <f t="shared" si="18"/>
        <v>3387800.9450000017</v>
      </c>
      <c r="I70" s="87"/>
      <c r="J70" s="87"/>
      <c r="K70" s="87"/>
      <c r="L70" s="87"/>
      <c r="M70" s="87"/>
      <c r="N70" s="87"/>
      <c r="O70" s="87"/>
      <c r="P70" s="87">
        <f t="shared" si="18"/>
        <v>1561783.1</v>
      </c>
      <c r="Q70" s="87"/>
      <c r="R70" s="49"/>
      <c r="S70" s="50"/>
    </row>
    <row r="71" spans="1:19" s="2" customFormat="1" ht="28.5" customHeight="1" x14ac:dyDescent="0.25">
      <c r="A71" s="19"/>
      <c r="B71" s="20"/>
      <c r="C71" s="175" t="s">
        <v>60</v>
      </c>
      <c r="D71" s="99" t="s">
        <v>93</v>
      </c>
      <c r="E71" s="93">
        <v>3640.3119999999999</v>
      </c>
      <c r="F71" s="94">
        <v>5.91</v>
      </c>
      <c r="G71" s="94">
        <f>E71*F71</f>
        <v>21514.243920000001</v>
      </c>
      <c r="H71" s="94">
        <f>E71*57</f>
        <v>207497.78399999999</v>
      </c>
      <c r="I71" s="94"/>
      <c r="J71" s="94"/>
      <c r="K71" s="94"/>
      <c r="L71" s="94"/>
      <c r="M71" s="94"/>
      <c r="N71" s="94"/>
      <c r="O71" s="94"/>
      <c r="P71" s="94">
        <v>250000</v>
      </c>
      <c r="Q71" s="94"/>
      <c r="R71" s="52"/>
      <c r="S71" s="47"/>
    </row>
    <row r="72" spans="1:19" s="2" customFormat="1" ht="30.75" customHeight="1" x14ac:dyDescent="0.25">
      <c r="A72" s="19"/>
      <c r="B72" s="20"/>
      <c r="C72" s="175" t="s">
        <v>27</v>
      </c>
      <c r="D72" s="99" t="s">
        <v>93</v>
      </c>
      <c r="E72" s="93">
        <v>195.68</v>
      </c>
      <c r="F72" s="94">
        <v>5.91</v>
      </c>
      <c r="G72" s="94">
        <f>E72*F72</f>
        <v>1156.4688000000001</v>
      </c>
      <c r="H72" s="94">
        <f>E72*57</f>
        <v>11153.76</v>
      </c>
      <c r="I72" s="94"/>
      <c r="J72" s="94"/>
      <c r="K72" s="94"/>
      <c r="L72" s="94"/>
      <c r="M72" s="94"/>
      <c r="N72" s="94"/>
      <c r="O72" s="94"/>
      <c r="P72" s="94"/>
      <c r="Q72" s="94"/>
      <c r="R72" s="52"/>
      <c r="S72" s="47"/>
    </row>
    <row r="73" spans="1:19" s="2" customFormat="1" ht="43.5" customHeight="1" x14ac:dyDescent="0.25">
      <c r="A73" s="17"/>
      <c r="B73" s="18"/>
      <c r="C73" s="110" t="s">
        <v>60</v>
      </c>
      <c r="D73" s="113" t="s">
        <v>94</v>
      </c>
      <c r="E73" s="89">
        <f>SUM(E70:E72)</f>
        <v>128717.59499999999</v>
      </c>
      <c r="F73" s="89"/>
      <c r="G73" s="87">
        <f t="shared" ref="G73:H73" si="19">SUM(G70:G72)</f>
        <v>430795.16099999991</v>
      </c>
      <c r="H73" s="87">
        <f t="shared" si="19"/>
        <v>3606452.4890000015</v>
      </c>
      <c r="I73" s="87"/>
      <c r="J73" s="87"/>
      <c r="K73" s="87"/>
      <c r="L73" s="87"/>
      <c r="M73" s="87"/>
      <c r="N73" s="87"/>
      <c r="O73" s="87"/>
      <c r="P73" s="87">
        <f t="shared" ref="P73" si="20">SUM(P70:P72)</f>
        <v>1811783.1</v>
      </c>
      <c r="Q73" s="87"/>
      <c r="R73" s="49"/>
      <c r="S73" s="50"/>
    </row>
    <row r="74" spans="1:19" s="2" customFormat="1" ht="126.75" customHeight="1" x14ac:dyDescent="0.25">
      <c r="A74" s="19"/>
      <c r="B74" s="20"/>
      <c r="C74" s="175" t="s">
        <v>60</v>
      </c>
      <c r="D74" s="99" t="s">
        <v>96</v>
      </c>
      <c r="E74" s="93">
        <v>3060.5039999999999</v>
      </c>
      <c r="F74" s="94">
        <v>5.91</v>
      </c>
      <c r="G74" s="94">
        <f>E74*F74</f>
        <v>18087.57864</v>
      </c>
      <c r="H74" s="94">
        <v>282216.53000000003</v>
      </c>
      <c r="I74" s="94"/>
      <c r="J74" s="94"/>
      <c r="K74" s="94"/>
      <c r="L74" s="94"/>
      <c r="M74" s="94"/>
      <c r="N74" s="94"/>
      <c r="O74" s="94"/>
      <c r="P74" s="94">
        <v>0</v>
      </c>
      <c r="Q74" s="94"/>
      <c r="R74" s="52"/>
      <c r="S74" s="218" t="s">
        <v>107</v>
      </c>
    </row>
    <row r="75" spans="1:19" s="2" customFormat="1" ht="128.25" customHeight="1" x14ac:dyDescent="0.25">
      <c r="A75" s="19"/>
      <c r="B75" s="20"/>
      <c r="C75" s="175" t="s">
        <v>27</v>
      </c>
      <c r="D75" s="99" t="s">
        <v>96</v>
      </c>
      <c r="E75" s="93">
        <v>226.62</v>
      </c>
      <c r="F75" s="94">
        <v>5.91</v>
      </c>
      <c r="G75" s="94">
        <f>E75*F75</f>
        <v>1339.3242</v>
      </c>
      <c r="H75" s="94">
        <v>21326.62</v>
      </c>
      <c r="I75" s="94"/>
      <c r="J75" s="94"/>
      <c r="K75" s="94"/>
      <c r="L75" s="94"/>
      <c r="M75" s="94"/>
      <c r="N75" s="94"/>
      <c r="O75" s="94"/>
      <c r="P75" s="94"/>
      <c r="Q75" s="94"/>
      <c r="R75" s="52"/>
      <c r="S75" s="218" t="s">
        <v>108</v>
      </c>
    </row>
    <row r="76" spans="1:19" s="2" customFormat="1" ht="43.5" customHeight="1" x14ac:dyDescent="0.25">
      <c r="A76" s="17"/>
      <c r="B76" s="18"/>
      <c r="C76" s="110" t="s">
        <v>60</v>
      </c>
      <c r="D76" s="113" t="s">
        <v>97</v>
      </c>
      <c r="E76" s="89">
        <f>SUM(E73:E75)</f>
        <v>132004.71899999998</v>
      </c>
      <c r="F76" s="89"/>
      <c r="G76" s="87">
        <f t="shared" ref="G76:H76" si="21">SUM(G73:G75)</f>
        <v>450222.0638399999</v>
      </c>
      <c r="H76" s="87">
        <f t="shared" si="21"/>
        <v>3909995.6390000014</v>
      </c>
      <c r="I76" s="87"/>
      <c r="J76" s="87"/>
      <c r="K76" s="87"/>
      <c r="L76" s="87"/>
      <c r="M76" s="87"/>
      <c r="N76" s="87"/>
      <c r="O76" s="87"/>
      <c r="P76" s="87">
        <v>1811783.1</v>
      </c>
      <c r="Q76" s="87"/>
      <c r="R76" s="49"/>
      <c r="S76" s="50"/>
    </row>
    <row r="77" spans="1:19" s="2" customFormat="1" ht="32.25" customHeight="1" x14ac:dyDescent="0.25">
      <c r="A77" s="19"/>
      <c r="B77" s="20"/>
      <c r="C77" s="102" t="s">
        <v>60</v>
      </c>
      <c r="D77" s="222" t="s">
        <v>119</v>
      </c>
      <c r="E77" s="93">
        <v>3578.19</v>
      </c>
      <c r="F77" s="94">
        <v>5.91</v>
      </c>
      <c r="G77" s="94">
        <f>E77*F77</f>
        <v>21147.102900000002</v>
      </c>
      <c r="H77" s="94">
        <f>E77*69</f>
        <v>246895.11000000002</v>
      </c>
      <c r="I77" s="94"/>
      <c r="J77" s="94"/>
      <c r="K77" s="94"/>
      <c r="L77" s="94"/>
      <c r="M77" s="94"/>
      <c r="N77" s="94"/>
      <c r="O77" s="94"/>
      <c r="P77" s="94">
        <v>167115.75</v>
      </c>
      <c r="Q77" s="94"/>
      <c r="R77" s="52"/>
      <c r="S77" s="47"/>
    </row>
    <row r="78" spans="1:19" s="2" customFormat="1" ht="30" customHeight="1" x14ac:dyDescent="0.25">
      <c r="A78" s="19"/>
      <c r="B78" s="20"/>
      <c r="C78" s="102" t="s">
        <v>27</v>
      </c>
      <c r="D78" s="222" t="s">
        <v>119</v>
      </c>
      <c r="E78" s="93">
        <v>232.78</v>
      </c>
      <c r="F78" s="94">
        <v>5.91</v>
      </c>
      <c r="G78" s="94">
        <f>E78*F78</f>
        <v>1375.7298000000001</v>
      </c>
      <c r="H78" s="94">
        <f>E78*69</f>
        <v>16061.82</v>
      </c>
      <c r="I78" s="94"/>
      <c r="J78" s="94"/>
      <c r="K78" s="94"/>
      <c r="L78" s="94"/>
      <c r="M78" s="94"/>
      <c r="N78" s="94"/>
      <c r="O78" s="94"/>
      <c r="P78" s="94"/>
      <c r="Q78" s="94"/>
      <c r="R78" s="52"/>
      <c r="S78" s="47"/>
    </row>
    <row r="79" spans="1:19" s="2" customFormat="1" ht="30" customHeight="1" x14ac:dyDescent="0.25">
      <c r="A79" s="19"/>
      <c r="B79" s="20"/>
      <c r="C79" s="102" t="s">
        <v>60</v>
      </c>
      <c r="D79" s="222"/>
      <c r="E79" s="93"/>
      <c r="F79" s="94"/>
      <c r="G79" s="94"/>
      <c r="H79" s="94">
        <v>283211.76</v>
      </c>
      <c r="I79" s="94"/>
      <c r="J79" s="94"/>
      <c r="K79" s="94"/>
      <c r="L79" s="94"/>
      <c r="M79" s="94"/>
      <c r="N79" s="94"/>
      <c r="O79" s="94"/>
      <c r="P79" s="94"/>
      <c r="Q79" s="94"/>
      <c r="R79" s="52"/>
      <c r="S79" s="227" t="s">
        <v>130</v>
      </c>
    </row>
    <row r="80" spans="1:19" s="2" customFormat="1" ht="43.5" customHeight="1" x14ac:dyDescent="0.25">
      <c r="A80" s="17"/>
      <c r="B80" s="18"/>
      <c r="C80" s="110" t="s">
        <v>60</v>
      </c>
      <c r="D80" s="113" t="s">
        <v>120</v>
      </c>
      <c r="E80" s="89">
        <f>SUM(E76:E79)</f>
        <v>135815.68899999998</v>
      </c>
      <c r="F80" s="89"/>
      <c r="G80" s="87">
        <f t="shared" ref="G80:P80" si="22">SUM(G76:G79)</f>
        <v>472744.89653999987</v>
      </c>
      <c r="H80" s="87">
        <f t="shared" si="22"/>
        <v>4456164.3290000008</v>
      </c>
      <c r="I80" s="87"/>
      <c r="J80" s="87"/>
      <c r="K80" s="87"/>
      <c r="L80" s="87"/>
      <c r="M80" s="87"/>
      <c r="N80" s="87"/>
      <c r="O80" s="87"/>
      <c r="P80" s="87">
        <f t="shared" si="22"/>
        <v>1978898.85</v>
      </c>
      <c r="Q80" s="87"/>
      <c r="R80" s="49"/>
      <c r="S80" s="50"/>
    </row>
    <row r="81" spans="1:19" s="2" customFormat="1" ht="43.5" customHeight="1" x14ac:dyDescent="0.25">
      <c r="A81" s="19"/>
      <c r="B81" s="20"/>
      <c r="C81" s="175" t="s">
        <v>60</v>
      </c>
      <c r="D81" s="222" t="s">
        <v>139</v>
      </c>
      <c r="E81" s="93">
        <v>3922.4169999999999</v>
      </c>
      <c r="F81" s="94">
        <v>5.91</v>
      </c>
      <c r="G81" s="94">
        <f>SUM(E81*F81)</f>
        <v>23181.484469999999</v>
      </c>
      <c r="H81" s="94">
        <f>SUM(E81*69)</f>
        <v>270646.77299999999</v>
      </c>
      <c r="I81" s="94"/>
      <c r="J81" s="94"/>
      <c r="K81" s="94"/>
      <c r="L81" s="94"/>
      <c r="M81" s="94"/>
      <c r="N81" s="94"/>
      <c r="O81" s="94"/>
      <c r="P81" s="94">
        <v>294742.28999999998</v>
      </c>
      <c r="Q81" s="94"/>
      <c r="R81" s="52"/>
      <c r="S81" s="47"/>
    </row>
    <row r="82" spans="1:19" s="2" customFormat="1" ht="43.5" customHeight="1" x14ac:dyDescent="0.25">
      <c r="A82" s="19"/>
      <c r="B82" s="20"/>
      <c r="C82" s="175" t="s">
        <v>27</v>
      </c>
      <c r="D82" s="222" t="s">
        <v>139</v>
      </c>
      <c r="E82" s="93">
        <v>166.78</v>
      </c>
      <c r="F82" s="94">
        <v>5.91</v>
      </c>
      <c r="G82" s="94">
        <f>SUM(E82*F82)</f>
        <v>985.66980000000001</v>
      </c>
      <c r="H82" s="94">
        <f>SUM(E82*69)</f>
        <v>11507.82</v>
      </c>
      <c r="I82" s="94"/>
      <c r="J82" s="94"/>
      <c r="K82" s="94"/>
      <c r="L82" s="94"/>
      <c r="M82" s="94"/>
      <c r="N82" s="94"/>
      <c r="O82" s="94"/>
      <c r="P82" s="94"/>
      <c r="Q82" s="94"/>
      <c r="R82" s="52"/>
      <c r="S82" s="47"/>
    </row>
    <row r="83" spans="1:19" s="2" customFormat="1" ht="43.5" customHeight="1" x14ac:dyDescent="0.25">
      <c r="A83" s="17"/>
      <c r="B83" s="18"/>
      <c r="C83" s="110" t="s">
        <v>60</v>
      </c>
      <c r="D83" s="113" t="s">
        <v>140</v>
      </c>
      <c r="E83" s="89">
        <f>SUM(E80:E82)</f>
        <v>139904.88599999997</v>
      </c>
      <c r="F83" s="89"/>
      <c r="G83" s="87">
        <f t="shared" ref="G83:H83" si="23">SUM(G80:G82)</f>
        <v>496912.05080999987</v>
      </c>
      <c r="H83" s="87">
        <f t="shared" si="23"/>
        <v>4738318.9220000012</v>
      </c>
      <c r="I83" s="87"/>
      <c r="J83" s="87"/>
      <c r="K83" s="87"/>
      <c r="L83" s="87"/>
      <c r="M83" s="87"/>
      <c r="N83" s="87"/>
      <c r="O83" s="87"/>
      <c r="P83" s="87">
        <f>SUM(P80:P82)</f>
        <v>2273641.14</v>
      </c>
      <c r="Q83" s="87"/>
      <c r="R83" s="49"/>
      <c r="S83" s="50"/>
    </row>
    <row r="84" spans="1:19" s="2" customFormat="1" ht="93" customHeight="1" x14ac:dyDescent="0.25">
      <c r="A84" s="19"/>
      <c r="B84" s="20"/>
      <c r="C84" s="175" t="s">
        <v>170</v>
      </c>
      <c r="D84" s="222" t="s">
        <v>144</v>
      </c>
      <c r="E84" s="93">
        <v>3595.94</v>
      </c>
      <c r="F84" s="94">
        <v>5.91</v>
      </c>
      <c r="G84" s="94">
        <f>2346.49*5.91</f>
        <v>13867.755899999998</v>
      </c>
      <c r="H84" s="94">
        <f>2346.49*69</f>
        <v>161907.81</v>
      </c>
      <c r="I84" s="228">
        <f>1153.872*5.91</f>
        <v>6819.3835200000003</v>
      </c>
      <c r="J84" s="228">
        <f>1153.872*69</f>
        <v>79617.168000000005</v>
      </c>
      <c r="K84" s="228">
        <f>SUM(I84+J84)</f>
        <v>86436.551520000008</v>
      </c>
      <c r="L84" s="256" t="s">
        <v>207</v>
      </c>
      <c r="M84" s="257"/>
      <c r="N84" s="94"/>
      <c r="O84" s="94"/>
      <c r="P84" s="94">
        <v>1313670</v>
      </c>
      <c r="Q84" s="94"/>
      <c r="R84" s="52"/>
      <c r="S84" s="47"/>
    </row>
    <row r="85" spans="1:19" s="2" customFormat="1" ht="43.5" customHeight="1" x14ac:dyDescent="0.25">
      <c r="A85" s="17"/>
      <c r="B85" s="18"/>
      <c r="C85" s="110" t="s">
        <v>60</v>
      </c>
      <c r="D85" s="113" t="s">
        <v>145</v>
      </c>
      <c r="E85" s="89">
        <f>SUM(E83:E84)</f>
        <v>143500.82599999997</v>
      </c>
      <c r="F85" s="89"/>
      <c r="G85" s="87">
        <f>SUM(G83:G84)</f>
        <v>510779.80670999986</v>
      </c>
      <c r="H85" s="87">
        <f>SUM(H83:H84)</f>
        <v>4900226.7320000008</v>
      </c>
      <c r="I85" s="87"/>
      <c r="J85" s="87"/>
      <c r="K85" s="87"/>
      <c r="L85" s="87"/>
      <c r="M85" s="87"/>
      <c r="N85" s="87"/>
      <c r="O85" s="87"/>
      <c r="P85" s="87">
        <f>SUM(P83:P84)</f>
        <v>3587311.14</v>
      </c>
      <c r="Q85" s="87"/>
      <c r="R85" s="49"/>
      <c r="S85" s="50"/>
    </row>
    <row r="86" spans="1:19" s="2" customFormat="1" ht="43.5" customHeight="1" x14ac:dyDescent="0.25">
      <c r="A86" s="19"/>
      <c r="B86" s="20"/>
      <c r="C86" s="175" t="s">
        <v>170</v>
      </c>
      <c r="D86" s="222" t="s">
        <v>165</v>
      </c>
      <c r="E86" s="93">
        <v>3375.9279999999999</v>
      </c>
      <c r="F86" s="94">
        <v>5.91</v>
      </c>
      <c r="G86" s="94">
        <f>E86*F86</f>
        <v>19951.734479999999</v>
      </c>
      <c r="H86" s="94">
        <f>E86*82</f>
        <v>276826.09600000002</v>
      </c>
      <c r="I86" s="94"/>
      <c r="J86" s="94"/>
      <c r="K86" s="94"/>
      <c r="L86" s="94"/>
      <c r="M86" s="94"/>
      <c r="N86" s="94"/>
      <c r="O86" s="94"/>
      <c r="P86" s="220" t="s">
        <v>191</v>
      </c>
      <c r="Q86" s="94"/>
      <c r="R86" s="52"/>
      <c r="S86" s="47"/>
    </row>
    <row r="87" spans="1:19" s="2" customFormat="1" ht="32.25" customHeight="1" x14ac:dyDescent="0.25">
      <c r="A87" s="19"/>
      <c r="B87" s="20"/>
      <c r="C87" s="175" t="s">
        <v>60</v>
      </c>
      <c r="D87" s="222"/>
      <c r="E87" s="93"/>
      <c r="F87" s="94"/>
      <c r="G87" s="94"/>
      <c r="H87" s="94">
        <v>772864.76</v>
      </c>
      <c r="I87" s="94"/>
      <c r="J87" s="94"/>
      <c r="K87" s="94"/>
      <c r="L87" s="94"/>
      <c r="M87" s="94"/>
      <c r="N87" s="94"/>
      <c r="O87" s="94"/>
      <c r="P87" s="220"/>
      <c r="Q87" s="94"/>
      <c r="R87" s="52"/>
      <c r="S87" s="175" t="s">
        <v>193</v>
      </c>
    </row>
    <row r="88" spans="1:19" s="2" customFormat="1" ht="46.5" customHeight="1" x14ac:dyDescent="0.25">
      <c r="A88" s="17"/>
      <c r="B88" s="18"/>
      <c r="C88" s="110" t="s">
        <v>60</v>
      </c>
      <c r="D88" s="100" t="s">
        <v>167</v>
      </c>
      <c r="E88" s="89">
        <f>SUM(E85+E86)</f>
        <v>146876.75399999996</v>
      </c>
      <c r="F88" s="89"/>
      <c r="G88" s="87">
        <f>SUM(G85+G86)</f>
        <v>530731.5411899999</v>
      </c>
      <c r="H88" s="87">
        <f>SUM(H85:H87)</f>
        <v>5949917.5880000005</v>
      </c>
      <c r="I88" s="87"/>
      <c r="J88" s="87"/>
      <c r="K88" s="87"/>
      <c r="L88" s="87"/>
      <c r="M88" s="87"/>
      <c r="N88" s="87"/>
      <c r="O88" s="87"/>
      <c r="P88" s="221" t="s">
        <v>192</v>
      </c>
      <c r="Q88" s="87"/>
      <c r="R88" s="49"/>
      <c r="S88" s="50"/>
    </row>
    <row r="89" spans="1:19" s="2" customFormat="1" ht="43.5" customHeight="1" x14ac:dyDescent="0.25">
      <c r="A89" s="19"/>
      <c r="B89" s="20"/>
      <c r="C89" s="175" t="s">
        <v>170</v>
      </c>
      <c r="D89" s="222" t="s">
        <v>166</v>
      </c>
      <c r="E89" s="93">
        <v>3435.663</v>
      </c>
      <c r="F89" s="94">
        <v>5.91</v>
      </c>
      <c r="G89" s="94">
        <f>F89*E89</f>
        <v>20304.768329999999</v>
      </c>
      <c r="H89" s="94">
        <f>E89*82</f>
        <v>281724.36599999998</v>
      </c>
      <c r="I89" s="94"/>
      <c r="J89" s="94"/>
      <c r="K89" s="94"/>
      <c r="L89" s="94"/>
      <c r="M89" s="94"/>
      <c r="N89" s="94"/>
      <c r="O89" s="94"/>
      <c r="P89" s="94">
        <v>0</v>
      </c>
      <c r="Q89" s="94"/>
      <c r="R89" s="52"/>
      <c r="S89" s="47"/>
    </row>
    <row r="90" spans="1:19" s="2" customFormat="1" ht="43.5" customHeight="1" x14ac:dyDescent="0.25">
      <c r="A90" s="17"/>
      <c r="B90" s="18"/>
      <c r="C90" s="110" t="s">
        <v>60</v>
      </c>
      <c r="D90" s="113" t="s">
        <v>168</v>
      </c>
      <c r="E90" s="89">
        <f>SUM(E88:E89)</f>
        <v>150312.41699999996</v>
      </c>
      <c r="F90" s="89"/>
      <c r="G90" s="87">
        <f>SUM(G88:G89)</f>
        <v>551036.30951999989</v>
      </c>
      <c r="H90" s="87">
        <f>SUM(H88:H89)</f>
        <v>6231641.9540000008</v>
      </c>
      <c r="I90" s="87"/>
      <c r="J90" s="87"/>
      <c r="K90" s="87"/>
      <c r="L90" s="87"/>
      <c r="M90" s="87"/>
      <c r="N90" s="87"/>
      <c r="O90" s="87"/>
      <c r="P90" s="221" t="s">
        <v>192</v>
      </c>
      <c r="Q90" s="87"/>
      <c r="R90" s="49"/>
      <c r="S90" s="50"/>
    </row>
    <row r="91" spans="1:19" s="236" customFormat="1" ht="43.5" customHeight="1" x14ac:dyDescent="0.25">
      <c r="A91" s="229"/>
      <c r="B91" s="230"/>
      <c r="C91" s="175" t="s">
        <v>170</v>
      </c>
      <c r="D91" s="222" t="s">
        <v>195</v>
      </c>
      <c r="E91" s="231">
        <v>4082.2339999999999</v>
      </c>
      <c r="F91" s="94">
        <v>5.91</v>
      </c>
      <c r="G91" s="232">
        <f>E91*F91</f>
        <v>24126.002939999998</v>
      </c>
      <c r="H91" s="232">
        <f>E91*82</f>
        <v>334743.18799999997</v>
      </c>
      <c r="I91" s="232"/>
      <c r="J91" s="232"/>
      <c r="K91" s="232"/>
      <c r="L91" s="232"/>
      <c r="M91" s="232"/>
      <c r="N91" s="232"/>
      <c r="O91" s="232"/>
      <c r="P91" s="94">
        <v>0</v>
      </c>
      <c r="Q91" s="232"/>
      <c r="R91" s="234"/>
      <c r="S91" s="235"/>
    </row>
    <row r="92" spans="1:19" s="1" customFormat="1" ht="43.5" customHeight="1" x14ac:dyDescent="0.25">
      <c r="A92" s="17"/>
      <c r="B92" s="18"/>
      <c r="C92" s="110" t="s">
        <v>60</v>
      </c>
      <c r="D92" s="113" t="s">
        <v>196</v>
      </c>
      <c r="E92" s="89">
        <f>SUM(E90:E91)</f>
        <v>154394.65099999995</v>
      </c>
      <c r="F92" s="89"/>
      <c r="G92" s="87">
        <f>SUM(G90:G91)</f>
        <v>575162.31245999993</v>
      </c>
      <c r="H92" s="87">
        <f>SUM(H90:H91)</f>
        <v>6566385.1420000009</v>
      </c>
      <c r="I92" s="87"/>
      <c r="J92" s="87"/>
      <c r="K92" s="87"/>
      <c r="L92" s="87"/>
      <c r="M92" s="87"/>
      <c r="N92" s="87"/>
      <c r="O92" s="87"/>
      <c r="P92" s="221" t="s">
        <v>192</v>
      </c>
      <c r="Q92" s="87"/>
      <c r="R92" s="49"/>
      <c r="S92" s="50"/>
    </row>
    <row r="93" spans="1:19" s="236" customFormat="1" ht="43.5" customHeight="1" x14ac:dyDescent="0.25">
      <c r="A93" s="229"/>
      <c r="B93" s="230"/>
      <c r="C93" s="175" t="s">
        <v>170</v>
      </c>
      <c r="D93" s="222" t="s">
        <v>201</v>
      </c>
      <c r="E93" s="231">
        <v>3770.92</v>
      </c>
      <c r="F93" s="94">
        <v>5.91</v>
      </c>
      <c r="G93" s="232">
        <f>2570.337*5.91</f>
        <v>15190.69167</v>
      </c>
      <c r="H93" s="232">
        <f>2570.337*82</f>
        <v>210767.63399999999</v>
      </c>
      <c r="I93" s="232">
        <f>1200.583*5.91</f>
        <v>7095.4455300000009</v>
      </c>
      <c r="J93" s="232">
        <f>1200.583*82</f>
        <v>98447.806000000011</v>
      </c>
      <c r="K93" s="232"/>
      <c r="L93" s="232"/>
      <c r="M93" s="232"/>
      <c r="N93" s="232"/>
      <c r="O93" s="232"/>
      <c r="P93" s="94">
        <v>0</v>
      </c>
      <c r="Q93" s="232"/>
      <c r="R93" s="234"/>
      <c r="S93" s="235"/>
    </row>
    <row r="94" spans="1:19" s="1" customFormat="1" ht="43.5" customHeight="1" x14ac:dyDescent="0.25">
      <c r="A94" s="17"/>
      <c r="B94" s="18"/>
      <c r="C94" s="110" t="s">
        <v>60</v>
      </c>
      <c r="D94" s="113" t="s">
        <v>202</v>
      </c>
      <c r="E94" s="89">
        <f>SUM(E92:E93)</f>
        <v>158165.57099999997</v>
      </c>
      <c r="F94" s="89"/>
      <c r="G94" s="87">
        <f>SUM(G92:G93)</f>
        <v>590353.0041299999</v>
      </c>
      <c r="H94" s="87">
        <f>SUM(H92:H93)</f>
        <v>6777152.7760000005</v>
      </c>
      <c r="I94" s="87">
        <v>7095.45</v>
      </c>
      <c r="J94" s="87">
        <v>98447.81</v>
      </c>
      <c r="K94" s="87"/>
      <c r="L94" s="87"/>
      <c r="M94" s="87"/>
      <c r="N94" s="87"/>
      <c r="O94" s="87"/>
      <c r="P94" s="221" t="s">
        <v>192</v>
      </c>
      <c r="Q94" s="87"/>
      <c r="R94" s="49"/>
      <c r="S94" s="50"/>
    </row>
    <row r="95" spans="1:19" s="236" customFormat="1" ht="43.5" customHeight="1" x14ac:dyDescent="0.25">
      <c r="A95" s="229"/>
      <c r="B95" s="230"/>
      <c r="C95" s="175" t="s">
        <v>170</v>
      </c>
      <c r="D95" s="222" t="s">
        <v>208</v>
      </c>
      <c r="E95" s="231">
        <v>3111.703</v>
      </c>
      <c r="F95" s="94">
        <v>5.91</v>
      </c>
      <c r="G95" s="232">
        <f>2036.613*5.91+7095.45</f>
        <v>19131.832829999999</v>
      </c>
      <c r="H95" s="232">
        <f>2036.613*95+98447.81</f>
        <v>291926.04500000004</v>
      </c>
      <c r="I95" s="232">
        <f>1075.09*5.91</f>
        <v>6353.7819</v>
      </c>
      <c r="J95" s="232">
        <f>1075.09*95</f>
        <v>102133.54999999999</v>
      </c>
      <c r="K95" s="232"/>
      <c r="L95" s="232"/>
      <c r="M95" s="232"/>
      <c r="N95" s="232"/>
      <c r="O95" s="232"/>
      <c r="P95" s="233"/>
      <c r="Q95" s="232"/>
      <c r="R95" s="234"/>
      <c r="S95" s="235"/>
    </row>
    <row r="96" spans="1:19" s="1" customFormat="1" ht="43.5" customHeight="1" x14ac:dyDescent="0.25">
      <c r="A96" s="17"/>
      <c r="B96" s="18"/>
      <c r="C96" s="110" t="s">
        <v>60</v>
      </c>
      <c r="D96" s="113" t="s">
        <v>209</v>
      </c>
      <c r="E96" s="89">
        <f>SUM(E94:E95)</f>
        <v>161277.27399999998</v>
      </c>
      <c r="F96" s="89"/>
      <c r="G96" s="87">
        <f>SUM(G94:G95)</f>
        <v>609484.83695999987</v>
      </c>
      <c r="H96" s="87">
        <f>SUM(H94:H95)</f>
        <v>7069078.8210000005</v>
      </c>
      <c r="I96" s="87">
        <v>6353.78</v>
      </c>
      <c r="J96" s="87">
        <v>102133.55</v>
      </c>
      <c r="K96" s="87"/>
      <c r="L96" s="87"/>
      <c r="M96" s="87"/>
      <c r="N96" s="87"/>
      <c r="O96" s="87"/>
      <c r="P96" s="221" t="s">
        <v>192</v>
      </c>
      <c r="Q96" s="87"/>
      <c r="R96" s="49"/>
      <c r="S96" s="50"/>
    </row>
    <row r="97" spans="1:20" s="236" customFormat="1" ht="43.5" customHeight="1" x14ac:dyDescent="0.25">
      <c r="A97" s="229"/>
      <c r="B97" s="230"/>
      <c r="C97" s="175" t="s">
        <v>170</v>
      </c>
      <c r="D97" s="222" t="s">
        <v>215</v>
      </c>
      <c r="E97" s="231">
        <v>3397.4879999999998</v>
      </c>
      <c r="F97" s="94">
        <v>5.91</v>
      </c>
      <c r="G97" s="232">
        <f>3295.732*5.91</f>
        <v>19477.776119999999</v>
      </c>
      <c r="H97" s="232">
        <f>3295.732*95</f>
        <v>313094.53999999998</v>
      </c>
      <c r="I97" s="232">
        <f>1176.846*5.91</f>
        <v>6955.1598599999998</v>
      </c>
      <c r="J97" s="232">
        <f>1176.846*95</f>
        <v>111800.37</v>
      </c>
      <c r="K97" s="232"/>
      <c r="L97" s="232"/>
      <c r="M97" s="232"/>
      <c r="N97" s="232"/>
      <c r="O97" s="232"/>
      <c r="P97" s="233"/>
      <c r="Q97" s="232"/>
      <c r="R97" s="234"/>
      <c r="S97" s="235"/>
    </row>
    <row r="98" spans="1:20" s="236" customFormat="1" ht="43.5" customHeight="1" x14ac:dyDescent="0.25">
      <c r="A98" s="229"/>
      <c r="B98" s="230"/>
      <c r="C98" s="252" t="s">
        <v>217</v>
      </c>
      <c r="D98" s="222"/>
      <c r="E98" s="231"/>
      <c r="F98" s="94"/>
      <c r="G98" s="232"/>
      <c r="H98" s="232">
        <v>752411.77</v>
      </c>
      <c r="I98" s="232"/>
      <c r="J98" s="232"/>
      <c r="K98" s="232"/>
      <c r="L98" s="232"/>
      <c r="M98" s="232"/>
      <c r="N98" s="232"/>
      <c r="O98" s="232"/>
      <c r="P98" s="233"/>
      <c r="Q98" s="232"/>
      <c r="R98" s="234"/>
      <c r="S98" s="235"/>
    </row>
    <row r="99" spans="1:20" s="1" customFormat="1" ht="43.5" customHeight="1" x14ac:dyDescent="0.25">
      <c r="A99" s="17"/>
      <c r="B99" s="18"/>
      <c r="C99" s="110" t="s">
        <v>60</v>
      </c>
      <c r="D99" s="113" t="s">
        <v>216</v>
      </c>
      <c r="E99" s="89">
        <f>SUM(E96:E97)</f>
        <v>164674.76199999999</v>
      </c>
      <c r="F99" s="89"/>
      <c r="G99" s="87">
        <f>SUM(G96:G97)</f>
        <v>628962.61307999992</v>
      </c>
      <c r="H99" s="87">
        <f>SUM(H96:H97:H98)</f>
        <v>8134585.131000001</v>
      </c>
      <c r="I99" s="87">
        <v>6955.16</v>
      </c>
      <c r="J99" s="87">
        <v>111800.37</v>
      </c>
      <c r="K99" s="87"/>
      <c r="L99" s="87"/>
      <c r="M99" s="87"/>
      <c r="N99" s="87"/>
      <c r="O99" s="87"/>
      <c r="P99" s="221" t="s">
        <v>192</v>
      </c>
      <c r="Q99" s="87"/>
      <c r="R99" s="49"/>
      <c r="S99" s="50"/>
    </row>
    <row r="100" spans="1:20" s="2" customFormat="1" ht="43.5" customHeight="1" x14ac:dyDescent="0.25">
      <c r="A100" s="19"/>
      <c r="B100" s="20"/>
      <c r="C100" s="175" t="s">
        <v>170</v>
      </c>
      <c r="D100" s="222" t="s">
        <v>218</v>
      </c>
      <c r="E100" s="93">
        <v>3778.0569999999998</v>
      </c>
      <c r="F100" s="94">
        <v>5.91</v>
      </c>
      <c r="G100" s="94">
        <f>6955.16+1125.045*5.91</f>
        <v>13604.175950000001</v>
      </c>
      <c r="H100" s="94">
        <f>111800.37+1125.045*95</f>
        <v>218679.64500000002</v>
      </c>
      <c r="I100" s="94">
        <f>2653.012*5.91</f>
        <v>15679.300920000001</v>
      </c>
      <c r="J100" s="94">
        <f>2653.012*95</f>
        <v>252036.14</v>
      </c>
      <c r="K100" s="94"/>
      <c r="L100" s="94"/>
      <c r="M100" s="94"/>
      <c r="N100" s="94"/>
      <c r="O100" s="94"/>
      <c r="P100" s="220" t="s">
        <v>224</v>
      </c>
      <c r="Q100" s="94"/>
      <c r="R100" s="52"/>
      <c r="S100" s="47"/>
    </row>
    <row r="101" spans="1:20" s="2" customFormat="1" ht="43.5" customHeight="1" x14ac:dyDescent="0.25">
      <c r="A101" s="19"/>
      <c r="B101" s="20"/>
      <c r="D101" s="175" t="s">
        <v>220</v>
      </c>
      <c r="E101" s="93">
        <v>6.64</v>
      </c>
      <c r="F101" s="93"/>
      <c r="G101" s="94"/>
      <c r="H101" s="94"/>
      <c r="I101" s="94"/>
      <c r="J101" s="94"/>
      <c r="K101" s="94"/>
      <c r="L101" s="94"/>
      <c r="M101" s="94"/>
      <c r="N101" s="94"/>
      <c r="O101" s="94"/>
      <c r="P101" s="220"/>
      <c r="Q101" s="94"/>
      <c r="R101" s="52"/>
      <c r="S101" s="47"/>
    </row>
    <row r="102" spans="1:20" s="1" customFormat="1" ht="43.5" customHeight="1" x14ac:dyDescent="0.25">
      <c r="A102" s="17"/>
      <c r="B102" s="18"/>
      <c r="C102" s="171" t="s">
        <v>60</v>
      </c>
      <c r="D102" s="113" t="s">
        <v>219</v>
      </c>
      <c r="E102" s="89">
        <f>SUM(E99:E100:E101)</f>
        <v>168459.459</v>
      </c>
      <c r="F102" s="89"/>
      <c r="G102" s="87">
        <f>SUM(G99:G100)</f>
        <v>642566.78902999987</v>
      </c>
      <c r="H102" s="87">
        <f>SUM(H99:H100)</f>
        <v>8353264.7760000005</v>
      </c>
      <c r="I102" s="87">
        <v>15679.3</v>
      </c>
      <c r="J102" s="87">
        <v>252036.14</v>
      </c>
      <c r="K102" s="87"/>
      <c r="L102" s="87"/>
      <c r="M102" s="87"/>
      <c r="N102" s="87"/>
      <c r="O102" s="87"/>
      <c r="P102" s="221" t="s">
        <v>222</v>
      </c>
      <c r="Q102" s="87"/>
      <c r="R102" s="49"/>
      <c r="S102" s="50"/>
    </row>
    <row r="103" spans="1:20" s="236" customFormat="1" ht="43.5" customHeight="1" x14ac:dyDescent="0.25">
      <c r="A103" s="229"/>
      <c r="B103" s="230"/>
      <c r="C103" s="175" t="s">
        <v>170</v>
      </c>
      <c r="D103" s="222" t="s">
        <v>227</v>
      </c>
      <c r="E103" s="231">
        <v>3510.0920000000001</v>
      </c>
      <c r="F103" s="94">
        <v>5.91</v>
      </c>
      <c r="G103" s="232">
        <f>15679.3+2468.895*5.91</f>
        <v>30270.469449999997</v>
      </c>
      <c r="H103" s="232">
        <f>252036.14+2468.895*95</f>
        <v>486581.16500000004</v>
      </c>
      <c r="I103" s="232">
        <f>1041.197*5.91</f>
        <v>6153.4742699999997</v>
      </c>
      <c r="J103" s="232">
        <f>1041.197*95</f>
        <v>98913.714999999997</v>
      </c>
      <c r="K103" s="232"/>
      <c r="L103" s="232"/>
      <c r="M103" s="232"/>
      <c r="N103" s="232"/>
      <c r="O103" s="232"/>
      <c r="P103" s="233"/>
      <c r="Q103" s="232"/>
      <c r="R103" s="234"/>
      <c r="S103" s="235"/>
    </row>
    <row r="104" spans="1:20" s="1" customFormat="1" ht="43.5" customHeight="1" x14ac:dyDescent="0.25">
      <c r="A104" s="17"/>
      <c r="B104" s="18"/>
      <c r="C104" s="171" t="s">
        <v>60</v>
      </c>
      <c r="D104" s="113" t="s">
        <v>228</v>
      </c>
      <c r="E104" s="89">
        <f>SUM(E102:E103)</f>
        <v>171969.55100000001</v>
      </c>
      <c r="F104" s="89"/>
      <c r="G104" s="87">
        <f>SUM(G102:G103)</f>
        <v>672837.25847999984</v>
      </c>
      <c r="H104" s="87">
        <f>SUM(H102:H103)</f>
        <v>8839845.9409999996</v>
      </c>
      <c r="I104" s="87">
        <v>6153.47</v>
      </c>
      <c r="J104" s="87">
        <v>98913.72</v>
      </c>
      <c r="K104" s="87"/>
      <c r="L104" s="87"/>
      <c r="M104" s="87"/>
      <c r="N104" s="87"/>
      <c r="O104" s="87"/>
      <c r="P104" s="221" t="s">
        <v>222</v>
      </c>
      <c r="Q104" s="87"/>
      <c r="R104" s="49"/>
      <c r="S104" s="50"/>
    </row>
    <row r="105" spans="1:20" s="1" customFormat="1" ht="43.5" customHeight="1" x14ac:dyDescent="0.25">
      <c r="A105" s="17"/>
      <c r="B105" s="18"/>
      <c r="C105" s="171" t="s">
        <v>60</v>
      </c>
      <c r="D105" s="113" t="s">
        <v>245</v>
      </c>
      <c r="E105" s="89">
        <v>194891.26</v>
      </c>
      <c r="F105" s="89"/>
      <c r="G105" s="87">
        <v>839640.54952999984</v>
      </c>
      <c r="H105" s="87">
        <v>13453157.898999996</v>
      </c>
      <c r="I105" s="87">
        <v>854204.84</v>
      </c>
      <c r="J105" s="87">
        <v>9805725.9399999995</v>
      </c>
      <c r="K105" s="87"/>
      <c r="L105" s="87"/>
      <c r="M105" s="87"/>
      <c r="N105" s="87"/>
      <c r="O105" s="87"/>
      <c r="P105" s="221" t="s">
        <v>246</v>
      </c>
      <c r="Q105" s="87"/>
      <c r="R105" s="49"/>
      <c r="S105" s="50"/>
    </row>
    <row r="106" spans="1:20" s="2" customFormat="1" x14ac:dyDescent="0.25">
      <c r="A106" s="22"/>
      <c r="B106" s="23"/>
      <c r="C106" s="108"/>
      <c r="D106" s="109"/>
      <c r="E106" s="107"/>
      <c r="F106" s="53"/>
      <c r="G106" s="35"/>
      <c r="H106" s="35"/>
      <c r="I106" s="35"/>
      <c r="J106" s="35"/>
      <c r="K106" s="35"/>
      <c r="L106" s="35"/>
      <c r="M106" s="35"/>
      <c r="N106" s="36"/>
      <c r="O106" s="36"/>
      <c r="P106" s="33"/>
      <c r="Q106" s="36"/>
      <c r="R106" s="54"/>
      <c r="S106" s="55"/>
    </row>
    <row r="107" spans="1:20" s="2" customFormat="1" ht="43.5" customHeight="1" x14ac:dyDescent="0.25">
      <c r="A107" s="19"/>
      <c r="B107" s="115" t="s">
        <v>22</v>
      </c>
      <c r="C107" s="116" t="s">
        <v>59</v>
      </c>
      <c r="D107" s="117">
        <v>2011</v>
      </c>
      <c r="E107" s="90">
        <v>4985</v>
      </c>
      <c r="F107" s="94"/>
      <c r="G107" s="94"/>
      <c r="H107" s="118">
        <v>14916.36</v>
      </c>
      <c r="I107" s="94"/>
      <c r="J107" s="118"/>
      <c r="K107" s="118"/>
      <c r="L107" s="94"/>
      <c r="M107" s="94"/>
      <c r="N107" s="95"/>
      <c r="O107" s="95"/>
      <c r="P107" s="94">
        <v>0</v>
      </c>
      <c r="Q107" s="30"/>
      <c r="R107" s="56"/>
      <c r="S107" s="47"/>
    </row>
    <row r="108" spans="1:20" ht="27.75" customHeight="1" x14ac:dyDescent="0.25">
      <c r="A108" s="15"/>
      <c r="B108" s="119"/>
      <c r="C108" s="116" t="s">
        <v>59</v>
      </c>
      <c r="D108" s="120">
        <v>2012</v>
      </c>
      <c r="E108" s="83">
        <v>4921.9399999999996</v>
      </c>
      <c r="F108" s="84"/>
      <c r="G108" s="118">
        <v>12766.42</v>
      </c>
      <c r="H108" s="118">
        <v>43460.44</v>
      </c>
      <c r="I108" s="85"/>
      <c r="J108" s="85"/>
      <c r="K108" s="84"/>
      <c r="L108" s="84"/>
      <c r="M108" s="84"/>
      <c r="N108" s="121"/>
      <c r="O108" s="121"/>
      <c r="P108" s="94">
        <v>0</v>
      </c>
      <c r="Q108" s="45"/>
      <c r="R108" s="57"/>
      <c r="S108" s="51"/>
    </row>
    <row r="109" spans="1:20" ht="36.75" customHeight="1" x14ac:dyDescent="0.25">
      <c r="A109" s="17"/>
      <c r="B109" s="122"/>
      <c r="C109" s="123" t="s">
        <v>59</v>
      </c>
      <c r="D109" s="96" t="s">
        <v>25</v>
      </c>
      <c r="E109" s="89">
        <v>9906.94</v>
      </c>
      <c r="F109" s="89"/>
      <c r="G109" s="87">
        <v>12766.42</v>
      </c>
      <c r="H109" s="87">
        <v>58376.800000000003</v>
      </c>
      <c r="I109" s="87"/>
      <c r="J109" s="87"/>
      <c r="K109" s="87"/>
      <c r="L109" s="87"/>
      <c r="M109" s="87"/>
      <c r="N109" s="124"/>
      <c r="O109" s="124"/>
      <c r="P109" s="87">
        <v>0</v>
      </c>
      <c r="Q109" s="48"/>
      <c r="R109" s="58"/>
      <c r="S109" s="50"/>
      <c r="T109" s="3"/>
    </row>
    <row r="110" spans="1:20" ht="25.5" x14ac:dyDescent="0.25">
      <c r="A110" s="15"/>
      <c r="B110" s="119"/>
      <c r="C110" s="116" t="s">
        <v>59</v>
      </c>
      <c r="D110" s="97">
        <v>2013</v>
      </c>
      <c r="E110" s="83">
        <v>4781</v>
      </c>
      <c r="F110" s="84"/>
      <c r="G110" s="118">
        <v>12615.76</v>
      </c>
      <c r="H110" s="118">
        <v>71680.5</v>
      </c>
      <c r="I110" s="118"/>
      <c r="J110" s="118"/>
      <c r="K110" s="84"/>
      <c r="L110" s="84"/>
      <c r="M110" s="84"/>
      <c r="N110" s="121"/>
      <c r="O110" s="121"/>
      <c r="P110" s="94">
        <v>0</v>
      </c>
      <c r="Q110" s="45"/>
      <c r="R110" s="57"/>
      <c r="S110" s="51"/>
    </row>
    <row r="111" spans="1:20" ht="36" customHeight="1" x14ac:dyDescent="0.25">
      <c r="A111" s="17"/>
      <c r="B111" s="122"/>
      <c r="C111" s="123" t="s">
        <v>59</v>
      </c>
      <c r="D111" s="96" t="s">
        <v>38</v>
      </c>
      <c r="E111" s="126">
        <v>14687.94</v>
      </c>
      <c r="F111" s="87"/>
      <c r="G111" s="87">
        <v>25382.18</v>
      </c>
      <c r="H111" s="87">
        <v>130057.3</v>
      </c>
      <c r="I111" s="87"/>
      <c r="J111" s="87"/>
      <c r="K111" s="87"/>
      <c r="L111" s="87"/>
      <c r="M111" s="87"/>
      <c r="N111" s="124"/>
      <c r="O111" s="124"/>
      <c r="P111" s="87">
        <v>0</v>
      </c>
      <c r="Q111" s="48"/>
      <c r="R111" s="58"/>
      <c r="S111" s="50"/>
    </row>
    <row r="112" spans="1:20" ht="25.5" x14ac:dyDescent="0.25">
      <c r="A112" s="15"/>
      <c r="B112" s="119"/>
      <c r="C112" s="116" t="s">
        <v>59</v>
      </c>
      <c r="D112" s="97">
        <v>2014</v>
      </c>
      <c r="E112" s="127">
        <v>4750</v>
      </c>
      <c r="F112" s="84"/>
      <c r="G112" s="182">
        <v>9911.66</v>
      </c>
      <c r="H112" s="182">
        <v>82539.539999999994</v>
      </c>
      <c r="I112" s="128"/>
      <c r="J112" s="125"/>
      <c r="K112" s="84"/>
      <c r="L112" s="84"/>
      <c r="M112" s="84"/>
      <c r="N112" s="121"/>
      <c r="O112" s="121"/>
      <c r="P112" s="94">
        <v>0</v>
      </c>
      <c r="Q112" s="45"/>
      <c r="R112" s="57"/>
      <c r="S112" s="51"/>
    </row>
    <row r="113" spans="1:19" ht="38.25" customHeight="1" x14ac:dyDescent="0.25">
      <c r="A113" s="17"/>
      <c r="B113" s="122"/>
      <c r="C113" s="123" t="s">
        <v>59</v>
      </c>
      <c r="D113" s="96" t="s">
        <v>24</v>
      </c>
      <c r="E113" s="126">
        <v>19437.939999999999</v>
      </c>
      <c r="F113" s="87"/>
      <c r="G113" s="87">
        <v>35293.839999999997</v>
      </c>
      <c r="H113" s="87">
        <v>212596.84</v>
      </c>
      <c r="I113" s="87"/>
      <c r="J113" s="87"/>
      <c r="K113" s="87"/>
      <c r="L113" s="87"/>
      <c r="M113" s="87"/>
      <c r="N113" s="124"/>
      <c r="O113" s="124"/>
      <c r="P113" s="87">
        <v>0</v>
      </c>
      <c r="Q113" s="48"/>
      <c r="R113" s="58"/>
      <c r="S113" s="50"/>
    </row>
    <row r="114" spans="1:19" ht="29.25" customHeight="1" x14ac:dyDescent="0.25">
      <c r="A114" s="15"/>
      <c r="B114" s="119"/>
      <c r="C114" s="116" t="s">
        <v>59</v>
      </c>
      <c r="D114" s="97">
        <v>2015</v>
      </c>
      <c r="E114" s="91">
        <v>3202.79</v>
      </c>
      <c r="F114" s="84">
        <v>2.64</v>
      </c>
      <c r="G114" s="106">
        <f>E114*F114</f>
        <v>8455.365600000001</v>
      </c>
      <c r="H114" s="106">
        <v>89678.12</v>
      </c>
      <c r="I114" s="92"/>
      <c r="J114" s="92"/>
      <c r="K114" s="84"/>
      <c r="L114" s="84"/>
      <c r="M114" s="84"/>
      <c r="N114" s="121"/>
      <c r="O114" s="121"/>
      <c r="P114" s="84" t="s">
        <v>55</v>
      </c>
      <c r="Q114" s="45"/>
      <c r="R114" s="57"/>
      <c r="S114" s="51"/>
    </row>
    <row r="115" spans="1:19" ht="39" customHeight="1" x14ac:dyDescent="0.25">
      <c r="A115" s="17"/>
      <c r="B115" s="122"/>
      <c r="C115" s="123" t="s">
        <v>59</v>
      </c>
      <c r="D115" s="96" t="s">
        <v>26</v>
      </c>
      <c r="E115" s="126">
        <v>22640.73</v>
      </c>
      <c r="F115" s="87"/>
      <c r="G115" s="87">
        <v>43749.21</v>
      </c>
      <c r="H115" s="87">
        <v>302274.96000000002</v>
      </c>
      <c r="I115" s="87"/>
      <c r="J115" s="87"/>
      <c r="K115" s="87"/>
      <c r="L115" s="87"/>
      <c r="M115" s="87"/>
      <c r="N115" s="124"/>
      <c r="O115" s="124"/>
      <c r="P115" s="87" t="s">
        <v>55</v>
      </c>
      <c r="Q115" s="48"/>
      <c r="R115" s="58"/>
      <c r="S115" s="50"/>
    </row>
    <row r="116" spans="1:19" ht="32.25" customHeight="1" x14ac:dyDescent="0.25">
      <c r="A116" s="15"/>
      <c r="B116" s="119"/>
      <c r="C116" s="116" t="s">
        <v>59</v>
      </c>
      <c r="D116" s="99" t="s">
        <v>29</v>
      </c>
      <c r="E116" s="91">
        <v>846.61599999999999</v>
      </c>
      <c r="F116" s="92">
        <v>5.91</v>
      </c>
      <c r="G116" s="94">
        <f>E116*F116</f>
        <v>5003.5005600000004</v>
      </c>
      <c r="H116" s="94">
        <v>30478.175999999999</v>
      </c>
      <c r="I116" s="84"/>
      <c r="J116" s="84"/>
      <c r="K116" s="84"/>
      <c r="L116" s="84"/>
      <c r="M116" s="84"/>
      <c r="N116" s="121"/>
      <c r="O116" s="121"/>
      <c r="P116" s="84">
        <v>0</v>
      </c>
      <c r="Q116" s="45"/>
      <c r="R116" s="57"/>
      <c r="S116" s="51"/>
    </row>
    <row r="117" spans="1:19" ht="38.25" x14ac:dyDescent="0.25">
      <c r="A117" s="17"/>
      <c r="B117" s="122"/>
      <c r="C117" s="123" t="s">
        <v>59</v>
      </c>
      <c r="D117" s="100" t="s">
        <v>30</v>
      </c>
      <c r="E117" s="126">
        <v>23487.346000000001</v>
      </c>
      <c r="F117" s="87"/>
      <c r="G117" s="87">
        <v>48752.71</v>
      </c>
      <c r="H117" s="87">
        <v>332753.14</v>
      </c>
      <c r="I117" s="87"/>
      <c r="J117" s="87"/>
      <c r="K117" s="87"/>
      <c r="L117" s="87"/>
      <c r="M117" s="87"/>
      <c r="N117" s="124"/>
      <c r="O117" s="124"/>
      <c r="P117" s="87" t="s">
        <v>55</v>
      </c>
      <c r="Q117" s="48"/>
      <c r="R117" s="58"/>
      <c r="S117" s="50"/>
    </row>
    <row r="118" spans="1:19" ht="25.5" x14ac:dyDescent="0.25">
      <c r="A118" s="15"/>
      <c r="B118" s="119"/>
      <c r="C118" s="116" t="s">
        <v>59</v>
      </c>
      <c r="D118" s="99" t="s">
        <v>31</v>
      </c>
      <c r="E118" s="91">
        <v>907.40300000000002</v>
      </c>
      <c r="F118" s="92">
        <v>5.91</v>
      </c>
      <c r="G118" s="94">
        <f>E118*F118</f>
        <v>5362.75173</v>
      </c>
      <c r="H118" s="94">
        <v>32666.508000000002</v>
      </c>
      <c r="I118" s="84"/>
      <c r="J118" s="84"/>
      <c r="K118" s="84"/>
      <c r="L118" s="84"/>
      <c r="M118" s="84"/>
      <c r="N118" s="121"/>
      <c r="O118" s="121"/>
      <c r="P118" s="84">
        <v>0</v>
      </c>
      <c r="Q118" s="45"/>
      <c r="R118" s="57"/>
      <c r="S118" s="51"/>
    </row>
    <row r="119" spans="1:19" ht="38.25" x14ac:dyDescent="0.25">
      <c r="A119" s="15"/>
      <c r="B119" s="119"/>
      <c r="C119" s="101" t="s">
        <v>39</v>
      </c>
      <c r="D119" s="104"/>
      <c r="E119" s="91">
        <v>23.4</v>
      </c>
      <c r="F119" s="84">
        <v>0</v>
      </c>
      <c r="G119" s="94">
        <v>0</v>
      </c>
      <c r="H119" s="94">
        <v>0</v>
      </c>
      <c r="I119" s="84"/>
      <c r="J119" s="84"/>
      <c r="K119" s="84"/>
      <c r="L119" s="84"/>
      <c r="M119" s="84"/>
      <c r="N119" s="121"/>
      <c r="O119" s="121"/>
      <c r="P119" s="84"/>
      <c r="Q119" s="45"/>
      <c r="R119" s="57"/>
      <c r="S119" s="51"/>
    </row>
    <row r="120" spans="1:19" ht="38.25" x14ac:dyDescent="0.25">
      <c r="A120" s="17"/>
      <c r="B120" s="122"/>
      <c r="C120" s="123" t="s">
        <v>59</v>
      </c>
      <c r="D120" s="100" t="s">
        <v>32</v>
      </c>
      <c r="E120" s="126">
        <v>24418.149000000001</v>
      </c>
      <c r="F120" s="87"/>
      <c r="G120" s="87">
        <v>54115.46</v>
      </c>
      <c r="H120" s="87">
        <v>365419.65</v>
      </c>
      <c r="I120" s="87"/>
      <c r="J120" s="87"/>
      <c r="K120" s="87"/>
      <c r="L120" s="87"/>
      <c r="M120" s="87"/>
      <c r="N120" s="124"/>
      <c r="O120" s="124"/>
      <c r="P120" s="87" t="s">
        <v>55</v>
      </c>
      <c r="Q120" s="48"/>
      <c r="R120" s="58"/>
      <c r="S120" s="50"/>
    </row>
    <row r="121" spans="1:19" ht="25.5" x14ac:dyDescent="0.25">
      <c r="A121" s="15"/>
      <c r="B121" s="119"/>
      <c r="C121" s="116" t="s">
        <v>59</v>
      </c>
      <c r="D121" s="99" t="s">
        <v>33</v>
      </c>
      <c r="E121" s="91">
        <v>916.74900000000002</v>
      </c>
      <c r="F121" s="92">
        <v>5.91</v>
      </c>
      <c r="G121" s="94">
        <f>E121*F121</f>
        <v>5417.9865900000004</v>
      </c>
      <c r="H121" s="94">
        <v>33002.959999999999</v>
      </c>
      <c r="I121" s="84"/>
      <c r="J121" s="84"/>
      <c r="K121" s="84"/>
      <c r="L121" s="84"/>
      <c r="M121" s="84"/>
      <c r="N121" s="121"/>
      <c r="O121" s="121"/>
      <c r="P121" s="84">
        <v>4800</v>
      </c>
      <c r="Q121" s="45"/>
      <c r="R121" s="57"/>
      <c r="S121" s="51"/>
    </row>
    <row r="122" spans="1:19" ht="38.25" x14ac:dyDescent="0.25">
      <c r="A122" s="17"/>
      <c r="B122" s="122"/>
      <c r="C122" s="123" t="s">
        <v>59</v>
      </c>
      <c r="D122" s="100" t="s">
        <v>35</v>
      </c>
      <c r="E122" s="126">
        <v>25334.898000000001</v>
      </c>
      <c r="F122" s="87"/>
      <c r="G122" s="87">
        <v>59533.45</v>
      </c>
      <c r="H122" s="87">
        <v>398422.61</v>
      </c>
      <c r="I122" s="87"/>
      <c r="J122" s="87"/>
      <c r="K122" s="87"/>
      <c r="L122" s="87"/>
      <c r="M122" s="87"/>
      <c r="N122" s="124"/>
      <c r="O122" s="124"/>
      <c r="P122" s="87">
        <v>172903.94</v>
      </c>
      <c r="Q122" s="48"/>
      <c r="R122" s="58"/>
      <c r="S122" s="50"/>
    </row>
    <row r="123" spans="1:19" ht="25.5" x14ac:dyDescent="0.25">
      <c r="A123" s="15"/>
      <c r="B123" s="119"/>
      <c r="C123" s="116" t="s">
        <v>59</v>
      </c>
      <c r="D123" s="99" t="s">
        <v>34</v>
      </c>
      <c r="E123" s="130">
        <v>855.72699999999998</v>
      </c>
      <c r="F123" s="92">
        <v>5.91</v>
      </c>
      <c r="G123" s="94">
        <f>E123*F123</f>
        <v>5057.3465699999997</v>
      </c>
      <c r="H123" s="94">
        <v>30806.171999999999</v>
      </c>
      <c r="I123" s="84"/>
      <c r="J123" s="84"/>
      <c r="K123" s="84"/>
      <c r="L123" s="84"/>
      <c r="M123" s="84"/>
      <c r="N123" s="121"/>
      <c r="O123" s="121"/>
      <c r="P123" s="84">
        <v>78932.399999999994</v>
      </c>
      <c r="Q123" s="45"/>
      <c r="R123" s="57"/>
      <c r="S123" s="51"/>
    </row>
    <row r="124" spans="1:19" ht="38.25" x14ac:dyDescent="0.25">
      <c r="A124" s="17"/>
      <c r="B124" s="122"/>
      <c r="C124" s="123" t="s">
        <v>59</v>
      </c>
      <c r="D124" s="100" t="s">
        <v>36</v>
      </c>
      <c r="E124" s="126">
        <v>26190.625</v>
      </c>
      <c r="F124" s="87"/>
      <c r="G124" s="87">
        <v>64590.8</v>
      </c>
      <c r="H124" s="87">
        <v>429228.78</v>
      </c>
      <c r="I124" s="87"/>
      <c r="J124" s="87"/>
      <c r="K124" s="87"/>
      <c r="L124" s="87"/>
      <c r="M124" s="87"/>
      <c r="N124" s="124"/>
      <c r="O124" s="124"/>
      <c r="P124" s="87">
        <v>251836.34</v>
      </c>
      <c r="Q124" s="48"/>
      <c r="R124" s="58"/>
      <c r="S124" s="50"/>
    </row>
    <row r="125" spans="1:19" s="2" customFormat="1" ht="25.5" x14ac:dyDescent="0.25">
      <c r="A125" s="19"/>
      <c r="B125" s="129"/>
      <c r="C125" s="116" t="s">
        <v>59</v>
      </c>
      <c r="D125" s="99" t="s">
        <v>57</v>
      </c>
      <c r="E125" s="130">
        <v>705.48800000000006</v>
      </c>
      <c r="F125" s="94">
        <v>5.91</v>
      </c>
      <c r="G125" s="94">
        <v>4965.6000000000004</v>
      </c>
      <c r="H125" s="94">
        <v>32769.919999999998</v>
      </c>
      <c r="I125" s="94"/>
      <c r="J125" s="94"/>
      <c r="K125" s="94"/>
      <c r="L125" s="94"/>
      <c r="M125" s="94"/>
      <c r="N125" s="95"/>
      <c r="O125" s="95"/>
      <c r="P125" s="94">
        <v>88532.4</v>
      </c>
      <c r="Q125" s="30"/>
      <c r="R125" s="56"/>
      <c r="S125" s="47"/>
    </row>
    <row r="126" spans="1:19" ht="38.25" x14ac:dyDescent="0.25">
      <c r="A126" s="17"/>
      <c r="B126" s="122"/>
      <c r="C126" s="123" t="s">
        <v>59</v>
      </c>
      <c r="D126" s="100" t="s">
        <v>58</v>
      </c>
      <c r="E126" s="126">
        <v>26896.133000000002</v>
      </c>
      <c r="F126" s="126"/>
      <c r="G126" s="105">
        <f>SUM(G124:G125)</f>
        <v>69556.400000000009</v>
      </c>
      <c r="H126" s="105">
        <f t="shared" ref="H126" si="24">SUM(H124:H125)</f>
        <v>461998.7</v>
      </c>
      <c r="I126" s="105"/>
      <c r="J126" s="105"/>
      <c r="K126" s="105"/>
      <c r="L126" s="87"/>
      <c r="M126" s="87"/>
      <c r="N126" s="124"/>
      <c r="O126" s="124"/>
      <c r="P126" s="87">
        <f>SUM(P124:P125)</f>
        <v>340368.74</v>
      </c>
      <c r="Q126" s="48"/>
      <c r="R126" s="58"/>
      <c r="S126" s="50"/>
    </row>
    <row r="127" spans="1:19" s="2" customFormat="1" ht="25.5" x14ac:dyDescent="0.25">
      <c r="A127" s="19"/>
      <c r="B127" s="129"/>
      <c r="C127" s="131" t="s">
        <v>59</v>
      </c>
      <c r="D127" s="99" t="s">
        <v>61</v>
      </c>
      <c r="E127" s="130">
        <v>916.58799999999997</v>
      </c>
      <c r="F127" s="94">
        <v>5.91</v>
      </c>
      <c r="G127" s="94">
        <f t="shared" ref="G127:G129" si="25">E127*F127</f>
        <v>5417.0350799999997</v>
      </c>
      <c r="H127" s="106">
        <v>36663.519999999997</v>
      </c>
      <c r="I127" s="106"/>
      <c r="J127" s="106"/>
      <c r="K127" s="106"/>
      <c r="L127" s="94"/>
      <c r="M127" s="94"/>
      <c r="N127" s="95"/>
      <c r="O127" s="95"/>
      <c r="P127" s="94">
        <v>0</v>
      </c>
      <c r="Q127" s="30"/>
      <c r="R127" s="56"/>
      <c r="S127" s="47"/>
    </row>
    <row r="128" spans="1:19" ht="38.25" x14ac:dyDescent="0.25">
      <c r="A128" s="17"/>
      <c r="B128" s="122"/>
      <c r="C128" s="123" t="s">
        <v>59</v>
      </c>
      <c r="D128" s="100" t="s">
        <v>63</v>
      </c>
      <c r="E128" s="126">
        <v>27812.721000000001</v>
      </c>
      <c r="F128" s="126"/>
      <c r="G128" s="105">
        <f>SUM(G126:G127)</f>
        <v>74973.43508000001</v>
      </c>
      <c r="H128" s="105">
        <f t="shared" ref="H128" si="26">SUM(H126:H127)</f>
        <v>498662.22000000003</v>
      </c>
      <c r="I128" s="105"/>
      <c r="J128" s="105"/>
      <c r="K128" s="105"/>
      <c r="L128" s="87"/>
      <c r="M128" s="87"/>
      <c r="N128" s="124"/>
      <c r="O128" s="124"/>
      <c r="P128" s="87">
        <v>340368.74</v>
      </c>
      <c r="Q128" s="48"/>
      <c r="R128" s="58"/>
      <c r="S128" s="50"/>
    </row>
    <row r="129" spans="1:19" s="2" customFormat="1" ht="25.5" x14ac:dyDescent="0.25">
      <c r="A129" s="19"/>
      <c r="B129" s="129"/>
      <c r="C129" s="131" t="s">
        <v>59</v>
      </c>
      <c r="D129" s="99" t="s">
        <v>64</v>
      </c>
      <c r="E129" s="130">
        <v>1154.587</v>
      </c>
      <c r="F129" s="94">
        <v>5.91</v>
      </c>
      <c r="G129" s="94">
        <f t="shared" si="25"/>
        <v>6823.6091699999997</v>
      </c>
      <c r="H129" s="106">
        <v>46183.48</v>
      </c>
      <c r="I129" s="106"/>
      <c r="J129" s="106"/>
      <c r="K129" s="106"/>
      <c r="L129" s="94"/>
      <c r="M129" s="94"/>
      <c r="N129" s="95"/>
      <c r="O129" s="95"/>
      <c r="P129" s="94">
        <v>0</v>
      </c>
      <c r="Q129" s="30"/>
      <c r="R129" s="56"/>
      <c r="S129" s="47"/>
    </row>
    <row r="130" spans="1:19" s="2" customFormat="1" ht="38.25" x14ac:dyDescent="0.25">
      <c r="A130" s="19"/>
      <c r="B130" s="129"/>
      <c r="C130" s="131" t="s">
        <v>39</v>
      </c>
      <c r="D130" s="104"/>
      <c r="E130" s="130">
        <v>25.26</v>
      </c>
      <c r="F130" s="106">
        <v>0</v>
      </c>
      <c r="G130" s="106">
        <v>0</v>
      </c>
      <c r="H130" s="106">
        <v>0</v>
      </c>
      <c r="I130" s="106"/>
      <c r="J130" s="106"/>
      <c r="K130" s="106"/>
      <c r="L130" s="94"/>
      <c r="M130" s="94"/>
      <c r="N130" s="95"/>
      <c r="O130" s="95"/>
      <c r="P130" s="94"/>
      <c r="Q130" s="30"/>
      <c r="R130" s="56"/>
      <c r="S130" s="47"/>
    </row>
    <row r="131" spans="1:19" ht="38.25" x14ac:dyDescent="0.25">
      <c r="A131" s="17"/>
      <c r="B131" s="122"/>
      <c r="C131" s="132" t="s">
        <v>59</v>
      </c>
      <c r="D131" s="100" t="s">
        <v>65</v>
      </c>
      <c r="E131" s="126">
        <v>28992.547999999999</v>
      </c>
      <c r="F131" s="126"/>
      <c r="G131" s="105">
        <f>SUM(G128:G129)</f>
        <v>81797.044250000006</v>
      </c>
      <c r="H131" s="105">
        <f t="shared" ref="H131" si="27">SUM(H128:H129)</f>
        <v>544845.70000000007</v>
      </c>
      <c r="I131" s="105"/>
      <c r="J131" s="105"/>
      <c r="K131" s="105"/>
      <c r="L131" s="87"/>
      <c r="M131" s="87"/>
      <c r="N131" s="124"/>
      <c r="O131" s="124"/>
      <c r="P131" s="87">
        <v>340368.74</v>
      </c>
      <c r="Q131" s="48"/>
      <c r="R131" s="58"/>
      <c r="S131" s="50"/>
    </row>
    <row r="132" spans="1:19" s="2" customFormat="1" ht="29.25" customHeight="1" x14ac:dyDescent="0.25">
      <c r="A132" s="19"/>
      <c r="B132" s="129"/>
      <c r="C132" s="131" t="s">
        <v>59</v>
      </c>
      <c r="D132" s="99" t="s">
        <v>70</v>
      </c>
      <c r="E132" s="130">
        <v>962.755</v>
      </c>
      <c r="F132" s="94">
        <v>5.91</v>
      </c>
      <c r="G132" s="106">
        <v>4893.72</v>
      </c>
      <c r="H132" s="106">
        <v>33959.699999999997</v>
      </c>
      <c r="I132" s="106"/>
      <c r="J132" s="106"/>
      <c r="K132" s="106"/>
      <c r="L132" s="94"/>
      <c r="M132" s="94"/>
      <c r="N132" s="95"/>
      <c r="O132" s="95"/>
      <c r="P132" s="94">
        <v>0</v>
      </c>
      <c r="Q132" s="30"/>
      <c r="R132" s="56"/>
      <c r="S132" s="47"/>
    </row>
    <row r="133" spans="1:19" ht="38.25" x14ac:dyDescent="0.25">
      <c r="A133" s="17"/>
      <c r="B133" s="122"/>
      <c r="C133" s="132" t="s">
        <v>59</v>
      </c>
      <c r="D133" s="100" t="s">
        <v>69</v>
      </c>
      <c r="E133" s="126">
        <v>29955.303</v>
      </c>
      <c r="F133" s="126"/>
      <c r="G133" s="105">
        <f t="shared" ref="G133:H133" si="28">SUM(G131:G132)</f>
        <v>86690.764250000007</v>
      </c>
      <c r="H133" s="105">
        <f t="shared" si="28"/>
        <v>578805.4</v>
      </c>
      <c r="I133" s="105"/>
      <c r="J133" s="105"/>
      <c r="K133" s="105"/>
      <c r="L133" s="87"/>
      <c r="M133" s="87"/>
      <c r="N133" s="124"/>
      <c r="O133" s="124"/>
      <c r="P133" s="87">
        <f>SUM(P131:P132)</f>
        <v>340368.74</v>
      </c>
      <c r="Q133" s="48"/>
      <c r="R133" s="58"/>
      <c r="S133" s="50"/>
    </row>
    <row r="134" spans="1:19" s="2" customFormat="1" ht="25.5" x14ac:dyDescent="0.25">
      <c r="A134" s="19"/>
      <c r="B134" s="129"/>
      <c r="C134" s="131" t="s">
        <v>59</v>
      </c>
      <c r="D134" s="99" t="s">
        <v>71</v>
      </c>
      <c r="E134" s="130">
        <v>707.91200000000003</v>
      </c>
      <c r="F134" s="94">
        <v>5.91</v>
      </c>
      <c r="G134" s="106">
        <f>E134*F134</f>
        <v>4183.7599200000004</v>
      </c>
      <c r="H134" s="106">
        <f>E134*45</f>
        <v>31856.04</v>
      </c>
      <c r="I134" s="106"/>
      <c r="J134" s="106"/>
      <c r="K134" s="106"/>
      <c r="L134" s="94"/>
      <c r="M134" s="94"/>
      <c r="N134" s="95"/>
      <c r="O134" s="95"/>
      <c r="P134" s="94">
        <v>129332.4</v>
      </c>
      <c r="Q134" s="30"/>
      <c r="R134" s="56"/>
      <c r="S134" s="47"/>
    </row>
    <row r="135" spans="1:19" ht="42" customHeight="1" x14ac:dyDescent="0.25">
      <c r="A135" s="17"/>
      <c r="B135" s="122"/>
      <c r="C135" s="132" t="s">
        <v>59</v>
      </c>
      <c r="D135" s="100" t="s">
        <v>72</v>
      </c>
      <c r="E135" s="126">
        <f>SUM(E133:E134)</f>
        <v>30663.215</v>
      </c>
      <c r="F135" s="126"/>
      <c r="G135" s="105">
        <f>SUM(G133:G134)</f>
        <v>90874.524170000004</v>
      </c>
      <c r="H135" s="105">
        <f>SUM(H133:H134)</f>
        <v>610661.44000000006</v>
      </c>
      <c r="I135" s="105"/>
      <c r="J135" s="105"/>
      <c r="K135" s="105"/>
      <c r="L135" s="87"/>
      <c r="M135" s="87"/>
      <c r="N135" s="124"/>
      <c r="O135" s="124"/>
      <c r="P135" s="87">
        <f>SUM(P133:P134)</f>
        <v>469701.14</v>
      </c>
      <c r="Q135" s="48"/>
      <c r="R135" s="58"/>
      <c r="S135" s="50"/>
    </row>
    <row r="136" spans="1:19" s="2" customFormat="1" ht="33" customHeight="1" x14ac:dyDescent="0.25">
      <c r="A136" s="19"/>
      <c r="B136" s="129"/>
      <c r="C136" s="131" t="s">
        <v>59</v>
      </c>
      <c r="D136" s="99" t="s">
        <v>73</v>
      </c>
      <c r="E136" s="130">
        <v>1022.022</v>
      </c>
      <c r="F136" s="94">
        <v>5.91</v>
      </c>
      <c r="G136" s="106">
        <f>E136*F136</f>
        <v>6040.15002</v>
      </c>
      <c r="H136" s="106">
        <f>E136*45</f>
        <v>45990.990000000005</v>
      </c>
      <c r="I136" s="106"/>
      <c r="J136" s="106"/>
      <c r="K136" s="106"/>
      <c r="L136" s="94"/>
      <c r="M136" s="94"/>
      <c r="N136" s="95"/>
      <c r="O136" s="95"/>
      <c r="P136" s="94">
        <v>40385</v>
      </c>
      <c r="Q136" s="30"/>
      <c r="R136" s="56"/>
      <c r="S136" s="47"/>
    </row>
    <row r="137" spans="1:19" ht="42" customHeight="1" x14ac:dyDescent="0.25">
      <c r="A137" s="17"/>
      <c r="B137" s="122"/>
      <c r="C137" s="132" t="s">
        <v>59</v>
      </c>
      <c r="D137" s="100" t="s">
        <v>74</v>
      </c>
      <c r="E137" s="126">
        <f>SUM(E135:E136)</f>
        <v>31685.237000000001</v>
      </c>
      <c r="F137" s="126"/>
      <c r="G137" s="105">
        <f>SUM(G135:G136)</f>
        <v>96914.674190000005</v>
      </c>
      <c r="H137" s="105">
        <f>SUM(H135:H136)</f>
        <v>656652.43000000005</v>
      </c>
      <c r="I137" s="105"/>
      <c r="J137" s="105"/>
      <c r="K137" s="105"/>
      <c r="L137" s="87"/>
      <c r="M137" s="87"/>
      <c r="N137" s="124"/>
      <c r="O137" s="124"/>
      <c r="P137" s="87">
        <f>SUM(P135:P136)</f>
        <v>510086.14</v>
      </c>
      <c r="Q137" s="48"/>
      <c r="R137" s="58"/>
      <c r="S137" s="50"/>
    </row>
    <row r="138" spans="1:19" s="2" customFormat="1" ht="27" customHeight="1" x14ac:dyDescent="0.25">
      <c r="A138" s="19"/>
      <c r="B138" s="129"/>
      <c r="C138" s="131" t="s">
        <v>59</v>
      </c>
      <c r="D138" s="99" t="s">
        <v>76</v>
      </c>
      <c r="E138" s="130">
        <v>1091.2829999999999</v>
      </c>
      <c r="F138" s="94">
        <v>5.91</v>
      </c>
      <c r="G138" s="106">
        <f>E138*F138</f>
        <v>6449.4825299999993</v>
      </c>
      <c r="H138" s="106">
        <f>E138*45</f>
        <v>49107.734999999993</v>
      </c>
      <c r="I138" s="106"/>
      <c r="J138" s="106"/>
      <c r="K138" s="106"/>
      <c r="L138" s="94"/>
      <c r="M138" s="94"/>
      <c r="N138" s="95"/>
      <c r="O138" s="95"/>
      <c r="P138" s="94">
        <v>0</v>
      </c>
      <c r="Q138" s="30"/>
      <c r="R138" s="56"/>
      <c r="S138" s="47"/>
    </row>
    <row r="139" spans="1:19" s="2" customFormat="1" ht="42" customHeight="1" x14ac:dyDescent="0.25">
      <c r="A139" s="19"/>
      <c r="B139" s="129"/>
      <c r="C139" s="131" t="s">
        <v>39</v>
      </c>
      <c r="D139" s="104"/>
      <c r="E139" s="130">
        <v>25.85</v>
      </c>
      <c r="F139" s="94">
        <v>0</v>
      </c>
      <c r="G139" s="94">
        <v>0</v>
      </c>
      <c r="H139" s="94">
        <v>0</v>
      </c>
      <c r="I139" s="94"/>
      <c r="J139" s="94"/>
      <c r="K139" s="94"/>
      <c r="L139" s="94"/>
      <c r="M139" s="94"/>
      <c r="N139" s="95"/>
      <c r="O139" s="95"/>
      <c r="P139" s="94"/>
      <c r="Q139" s="30"/>
      <c r="R139" s="56"/>
      <c r="S139" s="47"/>
    </row>
    <row r="140" spans="1:19" ht="42" customHeight="1" x14ac:dyDescent="0.25">
      <c r="A140" s="17"/>
      <c r="B140" s="122"/>
      <c r="C140" s="132" t="s">
        <v>59</v>
      </c>
      <c r="D140" s="100" t="s">
        <v>77</v>
      </c>
      <c r="E140" s="126">
        <f>SUM(E137:E139)</f>
        <v>32802.370000000003</v>
      </c>
      <c r="F140" s="126"/>
      <c r="G140" s="105">
        <f t="shared" ref="G140:H140" si="29">SUM(G137:G139)</f>
        <v>103364.15672</v>
      </c>
      <c r="H140" s="105">
        <f t="shared" si="29"/>
        <v>705760.16500000004</v>
      </c>
      <c r="I140" s="105"/>
      <c r="J140" s="105"/>
      <c r="K140" s="105"/>
      <c r="L140" s="87"/>
      <c r="M140" s="87"/>
      <c r="N140" s="124"/>
      <c r="O140" s="124"/>
      <c r="P140" s="87">
        <f>SUM(P137:P139)</f>
        <v>510086.14</v>
      </c>
      <c r="Q140" s="48"/>
      <c r="R140" s="58"/>
      <c r="S140" s="50"/>
    </row>
    <row r="141" spans="1:19" s="2" customFormat="1" ht="29.25" customHeight="1" x14ac:dyDescent="0.25">
      <c r="A141" s="19"/>
      <c r="B141" s="129"/>
      <c r="C141" s="131" t="s">
        <v>59</v>
      </c>
      <c r="D141" s="99" t="s">
        <v>78</v>
      </c>
      <c r="E141" s="130">
        <v>862.673</v>
      </c>
      <c r="F141" s="94">
        <v>5.91</v>
      </c>
      <c r="G141" s="106">
        <f>E141*F141</f>
        <v>5098.39743</v>
      </c>
      <c r="H141" s="106">
        <f>E141*45</f>
        <v>38820.285000000003</v>
      </c>
      <c r="I141" s="106"/>
      <c r="J141" s="106"/>
      <c r="K141" s="106"/>
      <c r="L141" s="94"/>
      <c r="M141" s="94"/>
      <c r="N141" s="95"/>
      <c r="O141" s="95"/>
      <c r="P141" s="94">
        <v>15000</v>
      </c>
      <c r="Q141" s="30"/>
      <c r="R141" s="56"/>
      <c r="S141" s="47"/>
    </row>
    <row r="142" spans="1:19" ht="42" customHeight="1" x14ac:dyDescent="0.25">
      <c r="A142" s="17"/>
      <c r="B142" s="122"/>
      <c r="C142" s="132" t="s">
        <v>59</v>
      </c>
      <c r="D142" s="100" t="s">
        <v>79</v>
      </c>
      <c r="E142" s="126">
        <f>SUM(E140:E141)</f>
        <v>33665.043000000005</v>
      </c>
      <c r="F142" s="126"/>
      <c r="G142" s="105">
        <f>SUM(G140:G141)</f>
        <v>108462.55415</v>
      </c>
      <c r="H142" s="105">
        <f>SUM(H140:H141)</f>
        <v>744580.45000000007</v>
      </c>
      <c r="I142" s="105"/>
      <c r="J142" s="105"/>
      <c r="K142" s="105"/>
      <c r="L142" s="105"/>
      <c r="M142" s="105"/>
      <c r="N142" s="105"/>
      <c r="O142" s="105"/>
      <c r="P142" s="105">
        <f>SUM(P140:P141)</f>
        <v>525086.14</v>
      </c>
      <c r="Q142" s="48"/>
      <c r="R142" s="58"/>
      <c r="S142" s="50"/>
    </row>
    <row r="143" spans="1:19" s="2" customFormat="1" ht="30" customHeight="1" x14ac:dyDescent="0.25">
      <c r="A143" s="19"/>
      <c r="B143" s="129"/>
      <c r="C143" s="131" t="s">
        <v>59</v>
      </c>
      <c r="D143" s="99" t="s">
        <v>82</v>
      </c>
      <c r="E143" s="130">
        <v>782.74900000000002</v>
      </c>
      <c r="F143" s="94">
        <v>5.91</v>
      </c>
      <c r="G143" s="106">
        <f>E143*F143</f>
        <v>4626.0465899999999</v>
      </c>
      <c r="H143" s="106">
        <f>E143*57</f>
        <v>44616.692999999999</v>
      </c>
      <c r="I143" s="106"/>
      <c r="J143" s="106"/>
      <c r="K143" s="106"/>
      <c r="L143" s="106"/>
      <c r="M143" s="106"/>
      <c r="N143" s="106"/>
      <c r="O143" s="106"/>
      <c r="P143" s="106">
        <v>0</v>
      </c>
      <c r="Q143" s="30"/>
      <c r="R143" s="56"/>
      <c r="S143" s="47"/>
    </row>
    <row r="144" spans="1:19" s="2" customFormat="1" ht="30" customHeight="1" x14ac:dyDescent="0.25">
      <c r="A144" s="19"/>
      <c r="B144" s="129"/>
      <c r="C144" s="131" t="s">
        <v>87</v>
      </c>
      <c r="D144" s="99"/>
      <c r="E144" s="130">
        <v>16.38</v>
      </c>
      <c r="F144" s="94"/>
      <c r="G144" s="106">
        <f>16.38*5.91</f>
        <v>96.805799999999991</v>
      </c>
      <c r="H144" s="106">
        <f>16.38*57</f>
        <v>933.66</v>
      </c>
      <c r="I144" s="106"/>
      <c r="J144" s="106"/>
      <c r="K144" s="106"/>
      <c r="L144" s="106"/>
      <c r="M144" s="106"/>
      <c r="N144" s="106"/>
      <c r="O144" s="106"/>
      <c r="P144" s="106"/>
      <c r="Q144" s="30"/>
      <c r="R144" s="56"/>
      <c r="S144" s="47"/>
    </row>
    <row r="145" spans="1:19" ht="42" customHeight="1" x14ac:dyDescent="0.25">
      <c r="A145" s="17"/>
      <c r="B145" s="122"/>
      <c r="C145" s="132" t="s">
        <v>59</v>
      </c>
      <c r="D145" s="100" t="s">
        <v>81</v>
      </c>
      <c r="E145" s="126">
        <f>SUM(E142:E144)</f>
        <v>34464.172000000006</v>
      </c>
      <c r="F145" s="126"/>
      <c r="G145" s="105">
        <f t="shared" ref="G145:H145" si="30">SUM(G142:G144)</f>
        <v>113185.40654</v>
      </c>
      <c r="H145" s="105">
        <f t="shared" si="30"/>
        <v>790130.80300000007</v>
      </c>
      <c r="I145" s="105"/>
      <c r="J145" s="105"/>
      <c r="K145" s="105"/>
      <c r="L145" s="105"/>
      <c r="M145" s="105"/>
      <c r="N145" s="105"/>
      <c r="O145" s="105"/>
      <c r="P145" s="105">
        <v>525086.14</v>
      </c>
      <c r="Q145" s="48"/>
      <c r="R145" s="58"/>
      <c r="S145" s="50"/>
    </row>
    <row r="146" spans="1:19" s="2" customFormat="1" ht="28.5" customHeight="1" x14ac:dyDescent="0.25">
      <c r="A146" s="19"/>
      <c r="B146" s="129"/>
      <c r="C146" s="131" t="s">
        <v>59</v>
      </c>
      <c r="D146" s="99" t="s">
        <v>84</v>
      </c>
      <c r="E146" s="130">
        <v>916.85400000000004</v>
      </c>
      <c r="F146" s="94">
        <v>5.91</v>
      </c>
      <c r="G146" s="106">
        <f>E146*F146</f>
        <v>5418.6071400000001</v>
      </c>
      <c r="H146" s="106">
        <f>E146*57</f>
        <v>52260.678</v>
      </c>
      <c r="I146" s="106"/>
      <c r="J146" s="106"/>
      <c r="K146" s="106"/>
      <c r="L146" s="106"/>
      <c r="M146" s="106"/>
      <c r="N146" s="106"/>
      <c r="O146" s="106"/>
      <c r="P146" s="106">
        <v>11880</v>
      </c>
      <c r="Q146" s="30"/>
      <c r="R146" s="56"/>
      <c r="S146" s="47"/>
    </row>
    <row r="147" spans="1:19" s="2" customFormat="1" ht="42" customHeight="1" x14ac:dyDescent="0.25">
      <c r="A147" s="19"/>
      <c r="B147" s="129"/>
      <c r="C147" s="131"/>
      <c r="D147" s="99"/>
      <c r="E147" s="130"/>
      <c r="F147" s="94"/>
      <c r="G147" s="106"/>
      <c r="H147" s="106">
        <v>37013.769999999997</v>
      </c>
      <c r="I147" s="106"/>
      <c r="J147" s="106"/>
      <c r="K147" s="106"/>
      <c r="L147" s="106"/>
      <c r="M147" s="106"/>
      <c r="N147" s="106"/>
      <c r="O147" s="106"/>
      <c r="P147" s="106"/>
      <c r="Q147" s="30"/>
      <c r="R147" s="56"/>
      <c r="S147" s="227" t="s">
        <v>88</v>
      </c>
    </row>
    <row r="148" spans="1:19" ht="39" customHeight="1" x14ac:dyDescent="0.25">
      <c r="A148" s="17"/>
      <c r="B148" s="122"/>
      <c r="C148" s="132" t="s">
        <v>59</v>
      </c>
      <c r="D148" s="100" t="s">
        <v>86</v>
      </c>
      <c r="E148" s="126">
        <f>SUM(E145:E146)</f>
        <v>35381.026000000005</v>
      </c>
      <c r="F148" s="126"/>
      <c r="G148" s="105">
        <f t="shared" ref="G148" si="31">SUM(G145:G146)</f>
        <v>118604.01368</v>
      </c>
      <c r="H148" s="105">
        <f>SUM(H145:H147)</f>
        <v>879405.25100000005</v>
      </c>
      <c r="I148" s="105"/>
      <c r="J148" s="105"/>
      <c r="K148" s="105"/>
      <c r="L148" s="105"/>
      <c r="M148" s="105"/>
      <c r="N148" s="105"/>
      <c r="O148" s="105"/>
      <c r="P148" s="105">
        <f>SUM(P145:P146)</f>
        <v>536966.14</v>
      </c>
      <c r="Q148" s="48"/>
      <c r="R148" s="58"/>
      <c r="S148" s="50"/>
    </row>
    <row r="149" spans="1:19" s="2" customFormat="1" ht="29.25" customHeight="1" x14ac:dyDescent="0.25">
      <c r="A149" s="19"/>
      <c r="B149" s="129"/>
      <c r="C149" s="131" t="s">
        <v>59</v>
      </c>
      <c r="D149" s="99" t="s">
        <v>89</v>
      </c>
      <c r="E149" s="130">
        <v>1075.2919999999999</v>
      </c>
      <c r="F149" s="94">
        <v>5.91</v>
      </c>
      <c r="G149" s="106">
        <f>E149*F149</f>
        <v>6354.9757199999995</v>
      </c>
      <c r="H149" s="106">
        <f>E149*57</f>
        <v>61291.643999999993</v>
      </c>
      <c r="I149" s="106"/>
      <c r="J149" s="106"/>
      <c r="K149" s="106"/>
      <c r="L149" s="106"/>
      <c r="M149" s="106"/>
      <c r="N149" s="106"/>
      <c r="O149" s="106"/>
      <c r="P149" s="106">
        <v>107074.2</v>
      </c>
      <c r="Q149" s="30"/>
      <c r="R149" s="56"/>
      <c r="S149" s="47"/>
    </row>
    <row r="150" spans="1:19" s="2" customFormat="1" ht="39" customHeight="1" x14ac:dyDescent="0.25">
      <c r="A150" s="19"/>
      <c r="B150" s="129"/>
      <c r="C150" s="131" t="s">
        <v>39</v>
      </c>
      <c r="D150" s="104"/>
      <c r="E150" s="130">
        <v>24.38</v>
      </c>
      <c r="F150" s="130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30"/>
      <c r="R150" s="56"/>
      <c r="S150" s="47"/>
    </row>
    <row r="151" spans="1:19" ht="39" customHeight="1" x14ac:dyDescent="0.25">
      <c r="A151" s="17"/>
      <c r="B151" s="122"/>
      <c r="C151" s="132" t="s">
        <v>59</v>
      </c>
      <c r="D151" s="100" t="s">
        <v>90</v>
      </c>
      <c r="E151" s="126">
        <f>SUM(E148:E150)</f>
        <v>36480.698000000004</v>
      </c>
      <c r="F151" s="126"/>
      <c r="G151" s="105">
        <f t="shared" ref="G151:P151" si="32">SUM(G148:G150)</f>
        <v>124958.98940000001</v>
      </c>
      <c r="H151" s="105">
        <f t="shared" si="32"/>
        <v>940696.89500000002</v>
      </c>
      <c r="I151" s="105"/>
      <c r="J151" s="105"/>
      <c r="K151" s="105"/>
      <c r="L151" s="105"/>
      <c r="M151" s="105"/>
      <c r="N151" s="105"/>
      <c r="O151" s="105"/>
      <c r="P151" s="105">
        <f t="shared" si="32"/>
        <v>644040.34</v>
      </c>
      <c r="Q151" s="48"/>
      <c r="R151" s="58"/>
      <c r="S151" s="50"/>
    </row>
    <row r="152" spans="1:19" s="2" customFormat="1" ht="29.25" customHeight="1" x14ac:dyDescent="0.25">
      <c r="A152" s="19"/>
      <c r="B152" s="129"/>
      <c r="C152" s="131" t="s">
        <v>59</v>
      </c>
      <c r="D152" s="99" t="s">
        <v>93</v>
      </c>
      <c r="E152" s="130">
        <v>1008.648</v>
      </c>
      <c r="F152" s="94">
        <v>5.91</v>
      </c>
      <c r="G152" s="106">
        <f>E152*F152</f>
        <v>5961.1096800000005</v>
      </c>
      <c r="H152" s="106">
        <f>E152*57</f>
        <v>57492.936000000002</v>
      </c>
      <c r="I152" s="106"/>
      <c r="J152" s="106"/>
      <c r="K152" s="106"/>
      <c r="L152" s="106"/>
      <c r="M152" s="106"/>
      <c r="N152" s="106"/>
      <c r="O152" s="106"/>
      <c r="P152" s="106">
        <v>0</v>
      </c>
      <c r="Q152" s="30"/>
      <c r="R152" s="56"/>
      <c r="S152" s="47"/>
    </row>
    <row r="153" spans="1:19" ht="39" customHeight="1" x14ac:dyDescent="0.25">
      <c r="A153" s="17"/>
      <c r="B153" s="122"/>
      <c r="C153" s="132" t="s">
        <v>59</v>
      </c>
      <c r="D153" s="100" t="s">
        <v>94</v>
      </c>
      <c r="E153" s="126">
        <f>SUM(E151:E152)</f>
        <v>37489.346000000005</v>
      </c>
      <c r="F153" s="126"/>
      <c r="G153" s="105">
        <f t="shared" ref="G153:H153" si="33">SUM(G151:G152)</f>
        <v>130920.09908</v>
      </c>
      <c r="H153" s="105">
        <f t="shared" si="33"/>
        <v>998189.83100000001</v>
      </c>
      <c r="I153" s="105"/>
      <c r="J153" s="105"/>
      <c r="K153" s="105"/>
      <c r="L153" s="105"/>
      <c r="M153" s="105"/>
      <c r="N153" s="105"/>
      <c r="O153" s="105"/>
      <c r="P153" s="105">
        <v>644040.34</v>
      </c>
      <c r="Q153" s="48"/>
      <c r="R153" s="58"/>
      <c r="S153" s="50"/>
    </row>
    <row r="154" spans="1:19" s="2" customFormat="1" ht="130.5" customHeight="1" x14ac:dyDescent="0.25">
      <c r="A154" s="19"/>
      <c r="B154" s="129"/>
      <c r="C154" s="131" t="s">
        <v>59</v>
      </c>
      <c r="D154" s="99" t="s">
        <v>96</v>
      </c>
      <c r="E154" s="130">
        <v>808.85599999999999</v>
      </c>
      <c r="F154" s="94">
        <v>5.91</v>
      </c>
      <c r="G154" s="106">
        <f>E154*F154</f>
        <v>4780.33896</v>
      </c>
      <c r="H154" s="106">
        <v>74688.240000000005</v>
      </c>
      <c r="I154" s="106"/>
      <c r="J154" s="106"/>
      <c r="K154" s="106"/>
      <c r="L154" s="106"/>
      <c r="M154" s="106"/>
      <c r="N154" s="106"/>
      <c r="O154" s="106"/>
      <c r="P154" s="106">
        <v>0</v>
      </c>
      <c r="Q154" s="30"/>
      <c r="R154" s="56"/>
      <c r="S154" s="218" t="s">
        <v>106</v>
      </c>
    </row>
    <row r="155" spans="1:19" ht="39" customHeight="1" x14ac:dyDescent="0.25">
      <c r="A155" s="17"/>
      <c r="B155" s="122"/>
      <c r="C155" s="132" t="s">
        <v>59</v>
      </c>
      <c r="D155" s="100" t="s">
        <v>97</v>
      </c>
      <c r="E155" s="126">
        <f>SUM(E153:E154)</f>
        <v>38298.202000000005</v>
      </c>
      <c r="F155" s="126"/>
      <c r="G155" s="105">
        <f t="shared" ref="G155:P155" si="34">SUM(G153:G154)</f>
        <v>135700.43804000001</v>
      </c>
      <c r="H155" s="105">
        <f t="shared" si="34"/>
        <v>1072878.071</v>
      </c>
      <c r="I155" s="105"/>
      <c r="J155" s="105"/>
      <c r="K155" s="105"/>
      <c r="L155" s="105"/>
      <c r="M155" s="105"/>
      <c r="N155" s="105"/>
      <c r="O155" s="105"/>
      <c r="P155" s="105">
        <f t="shared" si="34"/>
        <v>644040.34</v>
      </c>
      <c r="Q155" s="48"/>
      <c r="R155" s="58"/>
      <c r="S155" s="219"/>
    </row>
    <row r="156" spans="1:19" s="2" customFormat="1" ht="33.75" customHeight="1" x14ac:dyDescent="0.25">
      <c r="A156" s="19"/>
      <c r="B156" s="129"/>
      <c r="C156" s="131" t="s">
        <v>59</v>
      </c>
      <c r="D156" s="99" t="s">
        <v>119</v>
      </c>
      <c r="E156" s="130">
        <v>1057.3689999999999</v>
      </c>
      <c r="F156" s="94">
        <v>5.91</v>
      </c>
      <c r="G156" s="106">
        <f>E156*F156</f>
        <v>6249.0507899999993</v>
      </c>
      <c r="H156" s="106">
        <f>E156*69</f>
        <v>72958.460999999996</v>
      </c>
      <c r="I156" s="106"/>
      <c r="J156" s="106"/>
      <c r="K156" s="106"/>
      <c r="L156" s="106"/>
      <c r="M156" s="106"/>
      <c r="N156" s="106"/>
      <c r="O156" s="106"/>
      <c r="P156" s="106">
        <v>51725.25</v>
      </c>
      <c r="Q156" s="30"/>
      <c r="R156" s="56"/>
      <c r="S156" s="223"/>
    </row>
    <row r="157" spans="1:19" s="2" customFormat="1" ht="33.75" customHeight="1" x14ac:dyDescent="0.25">
      <c r="A157" s="19"/>
      <c r="B157" s="129"/>
      <c r="C157" s="131" t="s">
        <v>59</v>
      </c>
      <c r="D157" s="99"/>
      <c r="E157" s="130"/>
      <c r="F157" s="94"/>
      <c r="G157" s="106"/>
      <c r="H157" s="106">
        <v>94403.92</v>
      </c>
      <c r="I157" s="106"/>
      <c r="J157" s="106"/>
      <c r="K157" s="106"/>
      <c r="L157" s="106"/>
      <c r="M157" s="106"/>
      <c r="N157" s="106"/>
      <c r="O157" s="106"/>
      <c r="P157" s="106"/>
      <c r="Q157" s="30"/>
      <c r="R157" s="56"/>
      <c r="S157" s="187" t="s">
        <v>130</v>
      </c>
    </row>
    <row r="158" spans="1:19" ht="39" customHeight="1" x14ac:dyDescent="0.25">
      <c r="A158" s="17"/>
      <c r="B158" s="122"/>
      <c r="C158" s="132" t="s">
        <v>59</v>
      </c>
      <c r="D158" s="100" t="s">
        <v>120</v>
      </c>
      <c r="E158" s="126">
        <f>SUM(E155:E157)</f>
        <v>39355.571000000004</v>
      </c>
      <c r="F158" s="105"/>
      <c r="G158" s="105">
        <f t="shared" ref="G158:P158" si="35">SUM(G155:G157)</f>
        <v>141949.48883000002</v>
      </c>
      <c r="H158" s="105">
        <f t="shared" si="35"/>
        <v>1240240.4519999998</v>
      </c>
      <c r="I158" s="105"/>
      <c r="J158" s="105"/>
      <c r="K158" s="105"/>
      <c r="L158" s="105"/>
      <c r="M158" s="105"/>
      <c r="N158" s="105"/>
      <c r="O158" s="105"/>
      <c r="P158" s="105">
        <f t="shared" si="35"/>
        <v>695765.59</v>
      </c>
      <c r="Q158" s="48"/>
      <c r="R158" s="58"/>
      <c r="S158" s="219"/>
    </row>
    <row r="159" spans="1:19" s="2" customFormat="1" ht="39" customHeight="1" x14ac:dyDescent="0.25">
      <c r="A159" s="19"/>
      <c r="B159" s="129"/>
      <c r="C159" s="131" t="s">
        <v>59</v>
      </c>
      <c r="D159" s="99" t="s">
        <v>139</v>
      </c>
      <c r="E159" s="130">
        <v>1108.903</v>
      </c>
      <c r="F159" s="106">
        <v>5.91</v>
      </c>
      <c r="G159" s="106">
        <f>SUM(F159*E159)</f>
        <v>6553.6167300000006</v>
      </c>
      <c r="H159" s="106">
        <f>SUM(E159*69)</f>
        <v>76514.307000000001</v>
      </c>
      <c r="I159" s="106"/>
      <c r="J159" s="106"/>
      <c r="K159" s="106"/>
      <c r="L159" s="106"/>
      <c r="M159" s="106"/>
      <c r="N159" s="106"/>
      <c r="O159" s="106"/>
      <c r="P159" s="106">
        <v>98247.43</v>
      </c>
      <c r="Q159" s="30"/>
      <c r="R159" s="56"/>
      <c r="S159" s="223"/>
    </row>
    <row r="160" spans="1:19" ht="39" customHeight="1" x14ac:dyDescent="0.25">
      <c r="A160" s="17"/>
      <c r="B160" s="122"/>
      <c r="C160" s="132" t="s">
        <v>59</v>
      </c>
      <c r="D160" s="100" t="s">
        <v>140</v>
      </c>
      <c r="E160" s="126">
        <f>SUM(E158:E159)</f>
        <v>40464.474000000002</v>
      </c>
      <c r="F160" s="126"/>
      <c r="G160" s="105">
        <f t="shared" ref="G160:H160" si="36">SUM(G158:G159)</f>
        <v>148503.10556000003</v>
      </c>
      <c r="H160" s="105">
        <f t="shared" si="36"/>
        <v>1316754.7589999998</v>
      </c>
      <c r="I160" s="105"/>
      <c r="J160" s="105"/>
      <c r="K160" s="105"/>
      <c r="L160" s="105"/>
      <c r="M160" s="105"/>
      <c r="N160" s="105"/>
      <c r="O160" s="105"/>
      <c r="P160" s="105">
        <f>SUM(P158:P159)</f>
        <v>794013.02</v>
      </c>
      <c r="Q160" s="48"/>
      <c r="R160" s="58"/>
      <c r="S160" s="219"/>
    </row>
    <row r="161" spans="1:19" s="2" customFormat="1" ht="87" customHeight="1" x14ac:dyDescent="0.25">
      <c r="A161" s="19"/>
      <c r="B161" s="129"/>
      <c r="C161" s="131" t="s">
        <v>59</v>
      </c>
      <c r="D161" s="99" t="s">
        <v>144</v>
      </c>
      <c r="E161" s="130">
        <v>915.47699999999998</v>
      </c>
      <c r="F161" s="106">
        <v>5.91</v>
      </c>
      <c r="G161" s="106">
        <f>613.109*5.91</f>
        <v>3623.4741900000004</v>
      </c>
      <c r="H161" s="106">
        <f>613.109*69</f>
        <v>42304.521000000001</v>
      </c>
      <c r="I161" s="228">
        <f>302.368*5.91</f>
        <v>1786.99488</v>
      </c>
      <c r="J161" s="228">
        <f>302.368*69</f>
        <v>20863.392</v>
      </c>
      <c r="K161" s="228">
        <f>SUM(I161+J161)</f>
        <v>22650.386879999998</v>
      </c>
      <c r="L161" s="256" t="s">
        <v>207</v>
      </c>
      <c r="M161" s="257"/>
      <c r="N161" s="106"/>
      <c r="O161" s="106"/>
      <c r="P161" s="106">
        <v>427890</v>
      </c>
      <c r="Q161" s="30"/>
      <c r="R161" s="56"/>
      <c r="S161" s="223"/>
    </row>
    <row r="162" spans="1:19" ht="39" customHeight="1" x14ac:dyDescent="0.25">
      <c r="A162" s="17"/>
      <c r="B162" s="122"/>
      <c r="C162" s="132" t="s">
        <v>59</v>
      </c>
      <c r="D162" s="100" t="s">
        <v>145</v>
      </c>
      <c r="E162" s="126">
        <f>SUM(E160:E161)</f>
        <v>41379.951000000001</v>
      </c>
      <c r="F162" s="126"/>
      <c r="G162" s="105">
        <f t="shared" ref="G162:K162" si="37">SUM(G160:G161)</f>
        <v>152126.57975000003</v>
      </c>
      <c r="H162" s="105">
        <f t="shared" si="37"/>
        <v>1359059.2799999998</v>
      </c>
      <c r="I162" s="105">
        <f t="shared" si="37"/>
        <v>1786.99488</v>
      </c>
      <c r="J162" s="105">
        <f t="shared" si="37"/>
        <v>20863.392</v>
      </c>
      <c r="K162" s="105">
        <f t="shared" si="37"/>
        <v>22650.386879999998</v>
      </c>
      <c r="L162" s="105"/>
      <c r="M162" s="105"/>
      <c r="N162" s="105"/>
      <c r="O162" s="105"/>
      <c r="P162" s="105">
        <f>SUM(P160:P161)</f>
        <v>1221903.02</v>
      </c>
      <c r="Q162" s="48"/>
      <c r="R162" s="58"/>
      <c r="S162" s="219"/>
    </row>
    <row r="163" spans="1:19" s="2" customFormat="1" ht="39" customHeight="1" x14ac:dyDescent="0.25">
      <c r="A163" s="19"/>
      <c r="B163" s="129"/>
      <c r="C163" s="131" t="s">
        <v>59</v>
      </c>
      <c r="D163" s="99" t="s">
        <v>165</v>
      </c>
      <c r="E163" s="130">
        <v>857.43200000000002</v>
      </c>
      <c r="F163" s="106">
        <v>5.91</v>
      </c>
      <c r="G163" s="106"/>
      <c r="H163" s="106"/>
      <c r="I163" s="106">
        <f>E163*F163</f>
        <v>5067.4231200000004</v>
      </c>
      <c r="J163" s="106">
        <f>E163*82</f>
        <v>70309.423999999999</v>
      </c>
      <c r="K163" s="106"/>
      <c r="L163" s="106"/>
      <c r="M163" s="106"/>
      <c r="N163" s="106"/>
      <c r="O163" s="106"/>
      <c r="P163" s="225" t="s">
        <v>171</v>
      </c>
      <c r="Q163" s="30"/>
      <c r="R163" s="56"/>
      <c r="S163" s="223"/>
    </row>
    <row r="164" spans="1:19" s="2" customFormat="1" ht="39" customHeight="1" x14ac:dyDescent="0.25">
      <c r="A164" s="19"/>
      <c r="B164" s="129"/>
      <c r="C164" s="131"/>
      <c r="D164" s="104"/>
      <c r="E164" s="130"/>
      <c r="F164" s="106"/>
      <c r="G164" s="106"/>
      <c r="H164" s="106">
        <v>257621.59</v>
      </c>
      <c r="I164" s="106"/>
      <c r="J164" s="106"/>
      <c r="K164" s="106"/>
      <c r="L164" s="106"/>
      <c r="M164" s="106"/>
      <c r="N164" s="106"/>
      <c r="O164" s="106"/>
      <c r="P164" s="225"/>
      <c r="Q164" s="30"/>
      <c r="R164" s="56"/>
      <c r="S164" s="187" t="s">
        <v>193</v>
      </c>
    </row>
    <row r="165" spans="1:19" ht="39" customHeight="1" x14ac:dyDescent="0.25">
      <c r="A165" s="17"/>
      <c r="B165" s="122"/>
      <c r="C165" s="132" t="s">
        <v>59</v>
      </c>
      <c r="D165" s="100" t="s">
        <v>167</v>
      </c>
      <c r="E165" s="126">
        <f>SUM(E162:E163)</f>
        <v>42237.383000000002</v>
      </c>
      <c r="F165" s="126"/>
      <c r="G165" s="105">
        <f t="shared" ref="G165" si="38">SUM(G162:G163)</f>
        <v>152126.57975000003</v>
      </c>
      <c r="H165" s="105">
        <f>SUM(H162:H164)</f>
        <v>1616680.8699999999</v>
      </c>
      <c r="I165" s="105">
        <v>5067.4231200000004</v>
      </c>
      <c r="J165" s="105">
        <v>70309.423999999999</v>
      </c>
      <c r="K165" s="105"/>
      <c r="L165" s="105"/>
      <c r="M165" s="105"/>
      <c r="N165" s="105"/>
      <c r="O165" s="105"/>
      <c r="P165" s="185" t="s">
        <v>172</v>
      </c>
      <c r="Q165" s="48"/>
      <c r="R165" s="58"/>
      <c r="S165" s="219"/>
    </row>
    <row r="166" spans="1:19" s="2" customFormat="1" ht="30" customHeight="1" x14ac:dyDescent="0.25">
      <c r="A166" s="19"/>
      <c r="B166" s="129"/>
      <c r="C166" s="131" t="s">
        <v>59</v>
      </c>
      <c r="D166" s="99" t="s">
        <v>166</v>
      </c>
      <c r="E166" s="130">
        <v>927.85699999999997</v>
      </c>
      <c r="F166" s="106">
        <v>5.91</v>
      </c>
      <c r="G166" s="106">
        <v>1636.53</v>
      </c>
      <c r="H166" s="106">
        <v>22706.46</v>
      </c>
      <c r="I166" s="106">
        <f>E166*F166</f>
        <v>5483.6348699999999</v>
      </c>
      <c r="J166" s="106">
        <f>E166*82</f>
        <v>76084.274000000005</v>
      </c>
      <c r="K166" s="106"/>
      <c r="L166" s="106"/>
      <c r="M166" s="106"/>
      <c r="N166" s="106"/>
      <c r="O166" s="106"/>
      <c r="P166" s="106">
        <v>0</v>
      </c>
      <c r="Q166" s="30"/>
      <c r="R166" s="56"/>
      <c r="S166" s="223"/>
    </row>
    <row r="167" spans="1:19" ht="39" customHeight="1" x14ac:dyDescent="0.25">
      <c r="A167" s="17"/>
      <c r="B167" s="122"/>
      <c r="C167" s="132" t="s">
        <v>59</v>
      </c>
      <c r="D167" s="100" t="s">
        <v>168</v>
      </c>
      <c r="E167" s="126">
        <f>SUM(E165:E166)</f>
        <v>43165.240000000005</v>
      </c>
      <c r="F167" s="126"/>
      <c r="G167" s="105">
        <f t="shared" ref="G167:H169" si="39">SUM(G165:G166)</f>
        <v>153763.10975000003</v>
      </c>
      <c r="H167" s="105">
        <f t="shared" si="39"/>
        <v>1639387.3299999998</v>
      </c>
      <c r="I167" s="105">
        <v>8914.52</v>
      </c>
      <c r="J167" s="105">
        <v>123687.23</v>
      </c>
      <c r="K167" s="105"/>
      <c r="L167" s="105"/>
      <c r="M167" s="105"/>
      <c r="N167" s="105"/>
      <c r="O167" s="105"/>
      <c r="P167" s="185" t="s">
        <v>194</v>
      </c>
      <c r="Q167" s="48"/>
      <c r="R167" s="58"/>
      <c r="S167" s="219"/>
    </row>
    <row r="168" spans="1:19" s="236" customFormat="1" ht="39" customHeight="1" x14ac:dyDescent="0.25">
      <c r="A168" s="229"/>
      <c r="B168" s="237"/>
      <c r="C168" s="131" t="s">
        <v>59</v>
      </c>
      <c r="D168" s="99" t="s">
        <v>195</v>
      </c>
      <c r="E168" s="238">
        <v>1092.4860000000001</v>
      </c>
      <c r="F168" s="106">
        <v>5.91</v>
      </c>
      <c r="G168" s="239"/>
      <c r="H168" s="239"/>
      <c r="I168" s="239">
        <f>E168*F168</f>
        <v>6456.5922600000004</v>
      </c>
      <c r="J168" s="239">
        <f>E168*82</f>
        <v>89583.852000000014</v>
      </c>
      <c r="K168" s="239"/>
      <c r="L168" s="239"/>
      <c r="M168" s="239"/>
      <c r="N168" s="239"/>
      <c r="O168" s="239"/>
      <c r="P168" s="106">
        <v>0</v>
      </c>
      <c r="Q168" s="240"/>
      <c r="R168" s="241"/>
      <c r="S168" s="242"/>
    </row>
    <row r="169" spans="1:19" ht="39" customHeight="1" x14ac:dyDescent="0.25">
      <c r="A169" s="17"/>
      <c r="B169" s="122"/>
      <c r="C169" s="132" t="s">
        <v>59</v>
      </c>
      <c r="D169" s="100" t="s">
        <v>196</v>
      </c>
      <c r="E169" s="126">
        <f>SUM(E167:E168)</f>
        <v>44257.726000000002</v>
      </c>
      <c r="F169" s="126"/>
      <c r="G169" s="105">
        <f t="shared" si="39"/>
        <v>153763.10975000003</v>
      </c>
      <c r="H169" s="105">
        <f t="shared" si="39"/>
        <v>1639387.3299999998</v>
      </c>
      <c r="I169" s="105">
        <f>SUM(I167:I168)</f>
        <v>15371.112260000002</v>
      </c>
      <c r="J169" s="105">
        <f xml:space="preserve"> SUM(J167,J168)</f>
        <v>213271.08199999999</v>
      </c>
      <c r="K169" s="105"/>
      <c r="L169" s="105"/>
      <c r="M169" s="105"/>
      <c r="N169" s="105"/>
      <c r="O169" s="105"/>
      <c r="P169" s="185" t="s">
        <v>194</v>
      </c>
      <c r="Q169" s="48"/>
      <c r="R169" s="58"/>
      <c r="S169" s="219"/>
    </row>
    <row r="170" spans="1:19" s="236" customFormat="1" ht="39" customHeight="1" x14ac:dyDescent="0.25">
      <c r="A170" s="229"/>
      <c r="B170" s="237"/>
      <c r="C170" s="131" t="s">
        <v>59</v>
      </c>
      <c r="D170" s="99" t="s">
        <v>201</v>
      </c>
      <c r="E170" s="238">
        <v>972.1</v>
      </c>
      <c r="F170" s="106">
        <v>5.91</v>
      </c>
      <c r="G170" s="239"/>
      <c r="H170" s="239"/>
      <c r="I170" s="239">
        <f>E170*F170</f>
        <v>5745.1109999999999</v>
      </c>
      <c r="J170" s="239">
        <f>E170*82</f>
        <v>79712.2</v>
      </c>
      <c r="K170" s="239"/>
      <c r="L170" s="239"/>
      <c r="M170" s="239"/>
      <c r="N170" s="239"/>
      <c r="O170" s="239"/>
      <c r="P170" s="106">
        <v>0</v>
      </c>
      <c r="Q170" s="240"/>
      <c r="R170" s="241"/>
      <c r="S170" s="242"/>
    </row>
    <row r="171" spans="1:19" ht="65.25" customHeight="1" x14ac:dyDescent="0.25">
      <c r="A171" s="17"/>
      <c r="B171" s="122"/>
      <c r="C171" s="132" t="s">
        <v>59</v>
      </c>
      <c r="D171" s="100" t="s">
        <v>202</v>
      </c>
      <c r="E171" s="126">
        <f>SUM(E169:E170)</f>
        <v>45229.826000000001</v>
      </c>
      <c r="F171" s="126"/>
      <c r="G171" s="105">
        <f>SUM(G169:G170)</f>
        <v>153763.10975000003</v>
      </c>
      <c r="H171" s="105">
        <f>SUM(H169:H170)</f>
        <v>1639387.3299999998</v>
      </c>
      <c r="I171" s="105">
        <f>SUM(I169:I170)</f>
        <v>21116.223260000002</v>
      </c>
      <c r="J171" s="105">
        <f>SUM(J169:J170)</f>
        <v>292983.28200000001</v>
      </c>
      <c r="K171" s="253">
        <v>314099.5</v>
      </c>
      <c r="L171" s="256" t="s">
        <v>221</v>
      </c>
      <c r="M171" s="257"/>
      <c r="N171" s="105"/>
      <c r="O171" s="105"/>
      <c r="P171" s="185" t="s">
        <v>194</v>
      </c>
      <c r="Q171" s="48"/>
      <c r="R171" s="58"/>
      <c r="S171" s="219"/>
    </row>
    <row r="172" spans="1:19" s="236" customFormat="1" ht="39" customHeight="1" x14ac:dyDescent="0.25">
      <c r="A172" s="229"/>
      <c r="B172" s="237"/>
      <c r="C172" s="249" t="s">
        <v>59</v>
      </c>
      <c r="D172" s="99" t="s">
        <v>208</v>
      </c>
      <c r="E172" s="238">
        <v>785.27700000000004</v>
      </c>
      <c r="F172" s="106">
        <v>5.91</v>
      </c>
      <c r="G172" s="239">
        <f>505.007*5.91</f>
        <v>2984.5913700000001</v>
      </c>
      <c r="H172" s="239">
        <f>505.007*95</f>
        <v>47975.665000000001</v>
      </c>
      <c r="I172" s="239">
        <f>280.27*5.91</f>
        <v>1656.3957</v>
      </c>
      <c r="J172" s="239">
        <f>280.27*95</f>
        <v>26625.649999999998</v>
      </c>
      <c r="K172" s="239"/>
      <c r="L172" s="239"/>
      <c r="M172" s="239"/>
      <c r="N172" s="239"/>
      <c r="O172" s="239"/>
      <c r="P172" s="250"/>
      <c r="Q172" s="240"/>
      <c r="R172" s="241"/>
      <c r="S172" s="242"/>
    </row>
    <row r="173" spans="1:19" ht="39" customHeight="1" x14ac:dyDescent="0.25">
      <c r="A173" s="17"/>
      <c r="B173" s="122"/>
      <c r="C173" s="132" t="s">
        <v>59</v>
      </c>
      <c r="D173" s="100" t="s">
        <v>209</v>
      </c>
      <c r="E173" s="126">
        <f>SUM(E171:E172)</f>
        <v>46015.103000000003</v>
      </c>
      <c r="F173" s="126"/>
      <c r="G173" s="105">
        <f>SUM(G171:G172)</f>
        <v>156747.70112000004</v>
      </c>
      <c r="H173" s="105">
        <f>SUM(H171:H172)</f>
        <v>1687362.9949999999</v>
      </c>
      <c r="I173" s="105">
        <v>1656.4</v>
      </c>
      <c r="J173" s="105">
        <v>26625.65</v>
      </c>
      <c r="K173" s="105"/>
      <c r="L173" s="105"/>
      <c r="M173" s="105"/>
      <c r="N173" s="105"/>
      <c r="O173" s="105"/>
      <c r="P173" s="185" t="s">
        <v>194</v>
      </c>
      <c r="Q173" s="48"/>
      <c r="R173" s="58"/>
      <c r="S173" s="219"/>
    </row>
    <row r="174" spans="1:19" s="236" customFormat="1" ht="39" customHeight="1" x14ac:dyDescent="0.25">
      <c r="A174" s="229"/>
      <c r="B174" s="237"/>
      <c r="C174" s="249" t="s">
        <v>59</v>
      </c>
      <c r="D174" s="99" t="s">
        <v>215</v>
      </c>
      <c r="E174" s="238">
        <v>916.65200000000004</v>
      </c>
      <c r="F174" s="106">
        <v>5.91</v>
      </c>
      <c r="G174" s="239"/>
      <c r="H174" s="239"/>
      <c r="I174" s="239">
        <f>916.652*5.91</f>
        <v>5417.4133200000006</v>
      </c>
      <c r="J174" s="239">
        <f>916.652*95</f>
        <v>87081.94</v>
      </c>
      <c r="K174" s="239"/>
      <c r="L174" s="239"/>
      <c r="M174" s="239"/>
      <c r="N174" s="239"/>
      <c r="O174" s="239"/>
      <c r="P174" s="250"/>
      <c r="Q174" s="240"/>
      <c r="R174" s="241"/>
      <c r="S174" s="242"/>
    </row>
    <row r="175" spans="1:19" s="236" customFormat="1" ht="39" customHeight="1" x14ac:dyDescent="0.25">
      <c r="A175" s="229"/>
      <c r="B175" s="237"/>
      <c r="C175" s="249" t="s">
        <v>217</v>
      </c>
      <c r="D175" s="99"/>
      <c r="E175" s="238"/>
      <c r="F175" s="106"/>
      <c r="G175" s="239"/>
      <c r="H175" s="239">
        <v>250803.92</v>
      </c>
      <c r="I175" s="239"/>
      <c r="J175" s="239"/>
      <c r="K175" s="239"/>
      <c r="L175" s="239"/>
      <c r="M175" s="239"/>
      <c r="N175" s="239"/>
      <c r="O175" s="239"/>
      <c r="P175" s="250"/>
      <c r="Q175" s="240"/>
      <c r="R175" s="241"/>
      <c r="S175" s="242"/>
    </row>
    <row r="176" spans="1:19" ht="39" customHeight="1" x14ac:dyDescent="0.25">
      <c r="A176" s="17"/>
      <c r="B176" s="122"/>
      <c r="C176" s="132" t="s">
        <v>59</v>
      </c>
      <c r="D176" s="100" t="s">
        <v>216</v>
      </c>
      <c r="E176" s="126">
        <f>SUM(E173:E174)</f>
        <v>46931.755000000005</v>
      </c>
      <c r="F176" s="126"/>
      <c r="G176" s="105">
        <v>156747.70000000001</v>
      </c>
      <c r="H176" s="105">
        <f>SUM(H173:H175)</f>
        <v>1938166.9149999998</v>
      </c>
      <c r="I176" s="105">
        <f>SUM(I173:I174)</f>
        <v>7073.8133200000011</v>
      </c>
      <c r="J176" s="105">
        <f>SUM(J173:J174)</f>
        <v>113707.59</v>
      </c>
      <c r="K176" s="105"/>
      <c r="L176" s="105"/>
      <c r="M176" s="105"/>
      <c r="N176" s="105"/>
      <c r="O176" s="105"/>
      <c r="P176" s="185" t="s">
        <v>194</v>
      </c>
      <c r="Q176" s="48"/>
      <c r="R176" s="58"/>
      <c r="S176" s="219"/>
    </row>
    <row r="177" spans="1:19" s="2" customFormat="1" ht="39" customHeight="1" x14ac:dyDescent="0.25">
      <c r="A177" s="19"/>
      <c r="B177" s="129"/>
      <c r="C177" s="249" t="s">
        <v>59</v>
      </c>
      <c r="D177" s="99" t="s">
        <v>218</v>
      </c>
      <c r="E177" s="130">
        <v>1048.4829999999999</v>
      </c>
      <c r="F177" s="106">
        <v>5.91</v>
      </c>
      <c r="G177" s="106"/>
      <c r="H177" s="106"/>
      <c r="I177" s="106">
        <f>1048.483*5.91</f>
        <v>6196.5345299999999</v>
      </c>
      <c r="J177" s="106">
        <f>1048.483*95</f>
        <v>99605.884999999995</v>
      </c>
      <c r="K177" s="106"/>
      <c r="L177" s="106"/>
      <c r="M177" s="106"/>
      <c r="N177" s="106"/>
      <c r="O177" s="106"/>
      <c r="P177" s="225" t="s">
        <v>225</v>
      </c>
      <c r="Q177" s="30"/>
      <c r="R177" s="56"/>
      <c r="S177" s="223"/>
    </row>
    <row r="178" spans="1:19" ht="39" customHeight="1" x14ac:dyDescent="0.25">
      <c r="A178" s="17"/>
      <c r="B178" s="122"/>
      <c r="C178" s="132" t="s">
        <v>59</v>
      </c>
      <c r="D178" s="100" t="s">
        <v>219</v>
      </c>
      <c r="E178" s="126">
        <f>SUM(E176:E177)</f>
        <v>47980.238000000005</v>
      </c>
      <c r="F178" s="126"/>
      <c r="G178" s="105">
        <v>156747.70000000001</v>
      </c>
      <c r="H178" s="105">
        <v>1938166.92</v>
      </c>
      <c r="I178" s="105">
        <f>SUM(I176:I177)</f>
        <v>13270.347850000002</v>
      </c>
      <c r="J178" s="105">
        <f>SUM(J176:J177)</f>
        <v>213313.47499999998</v>
      </c>
      <c r="K178" s="105"/>
      <c r="L178" s="105"/>
      <c r="M178" s="105"/>
      <c r="N178" s="105"/>
      <c r="O178" s="105"/>
      <c r="P178" s="185" t="s">
        <v>223</v>
      </c>
      <c r="Q178" s="48"/>
      <c r="R178" s="58"/>
      <c r="S178" s="219"/>
    </row>
    <row r="179" spans="1:19" s="236" customFormat="1" ht="50.25" customHeight="1" x14ac:dyDescent="0.25">
      <c r="A179" s="229"/>
      <c r="B179" s="237"/>
      <c r="C179" s="249" t="s">
        <v>59</v>
      </c>
      <c r="D179" s="99" t="s">
        <v>227</v>
      </c>
      <c r="E179" s="238">
        <v>896.36800000000005</v>
      </c>
      <c r="F179" s="106">
        <v>5.91</v>
      </c>
      <c r="G179" s="239"/>
      <c r="H179" s="239"/>
      <c r="I179" s="239">
        <f>896.368*5.91</f>
        <v>5297.5348800000002</v>
      </c>
      <c r="J179" s="239">
        <f>896.368*95</f>
        <v>85154.96</v>
      </c>
      <c r="K179" s="239"/>
      <c r="L179" s="239"/>
      <c r="M179" s="239"/>
      <c r="N179" s="239"/>
      <c r="O179" s="239"/>
      <c r="P179" s="250"/>
      <c r="Q179" s="240"/>
      <c r="R179" s="241"/>
      <c r="S179" s="242"/>
    </row>
    <row r="180" spans="1:19" ht="39" customHeight="1" x14ac:dyDescent="0.25">
      <c r="A180" s="17"/>
      <c r="B180" s="122"/>
      <c r="C180" s="132" t="s">
        <v>59</v>
      </c>
      <c r="D180" s="100" t="s">
        <v>228</v>
      </c>
      <c r="E180" s="126">
        <f>SUM(E178:E179)</f>
        <v>48876.606000000007</v>
      </c>
      <c r="F180" s="126"/>
      <c r="G180" s="105">
        <v>156747.70000000001</v>
      </c>
      <c r="H180" s="105">
        <v>1938166.92</v>
      </c>
      <c r="I180" s="105">
        <f>SUM(I178:I179)</f>
        <v>18567.882730000001</v>
      </c>
      <c r="J180" s="105">
        <f>SUM(J178:J179)</f>
        <v>298468.435</v>
      </c>
      <c r="K180" s="105"/>
      <c r="L180" s="105"/>
      <c r="M180" s="105"/>
      <c r="N180" s="105"/>
      <c r="O180" s="105"/>
      <c r="P180" s="185" t="s">
        <v>223</v>
      </c>
      <c r="Q180" s="48"/>
      <c r="R180" s="58"/>
      <c r="S180" s="219"/>
    </row>
    <row r="181" spans="1:19" ht="39" customHeight="1" x14ac:dyDescent="0.25">
      <c r="A181" s="17"/>
      <c r="B181" s="122"/>
      <c r="C181" s="132" t="s">
        <v>59</v>
      </c>
      <c r="D181" s="100" t="s">
        <v>247</v>
      </c>
      <c r="E181" s="126">
        <v>56562.38</v>
      </c>
      <c r="F181" s="126"/>
      <c r="G181" s="105">
        <v>156758.34</v>
      </c>
      <c r="H181" s="105">
        <v>2585241.04</v>
      </c>
      <c r="I181" s="105">
        <v>243577.05</v>
      </c>
      <c r="J181" s="105">
        <v>2639689.69</v>
      </c>
      <c r="K181" s="105"/>
      <c r="L181" s="105"/>
      <c r="M181" s="105"/>
      <c r="N181" s="105"/>
      <c r="O181" s="105"/>
      <c r="P181" s="185" t="s">
        <v>248</v>
      </c>
      <c r="Q181" s="48"/>
      <c r="R181" s="58"/>
      <c r="S181" s="219"/>
    </row>
    <row r="182" spans="1:19" x14ac:dyDescent="0.25">
      <c r="A182" s="22"/>
      <c r="B182" s="23"/>
      <c r="C182" s="24"/>
      <c r="D182" s="41"/>
      <c r="E182" s="59"/>
      <c r="F182" s="35"/>
      <c r="G182" s="60"/>
      <c r="H182" s="60"/>
      <c r="I182" s="60"/>
      <c r="J182" s="60"/>
      <c r="K182" s="60"/>
      <c r="L182" s="35"/>
      <c r="M182" s="35"/>
      <c r="N182" s="36"/>
      <c r="O182" s="36"/>
      <c r="P182" s="35"/>
      <c r="Q182" s="36"/>
      <c r="R182" s="54"/>
      <c r="S182" s="55"/>
    </row>
    <row r="183" spans="1:19" ht="33.75" customHeight="1" x14ac:dyDescent="0.25">
      <c r="A183" s="19"/>
      <c r="B183" s="115" t="s">
        <v>40</v>
      </c>
      <c r="C183" s="131" t="s">
        <v>41</v>
      </c>
      <c r="D183" s="133">
        <v>2011</v>
      </c>
      <c r="E183" s="90">
        <v>2413.5300000000002</v>
      </c>
      <c r="F183" s="118">
        <v>3.18</v>
      </c>
      <c r="G183" s="118">
        <f>E183*F183</f>
        <v>7675.0254000000014</v>
      </c>
      <c r="H183" s="118">
        <v>7240.59</v>
      </c>
      <c r="I183" s="118"/>
      <c r="J183" s="118"/>
      <c r="K183" s="94"/>
      <c r="L183" s="134"/>
      <c r="M183" s="134"/>
      <c r="N183" s="135"/>
      <c r="O183" s="135"/>
      <c r="P183" s="94">
        <v>0</v>
      </c>
      <c r="Q183" s="61"/>
      <c r="R183" s="62"/>
      <c r="S183" s="51"/>
    </row>
    <row r="184" spans="1:19" ht="28.5" customHeight="1" x14ac:dyDescent="0.25">
      <c r="A184" s="19"/>
      <c r="B184" s="115"/>
      <c r="C184" s="131" t="s">
        <v>66</v>
      </c>
      <c r="D184" s="133">
        <v>2011</v>
      </c>
      <c r="E184" s="90">
        <v>331.88</v>
      </c>
      <c r="F184" s="118">
        <v>3.18</v>
      </c>
      <c r="G184" s="118">
        <f>E184*F184</f>
        <v>1055.3784000000001</v>
      </c>
      <c r="H184" s="118">
        <v>995.64</v>
      </c>
      <c r="I184" s="118"/>
      <c r="J184" s="118"/>
      <c r="K184" s="94"/>
      <c r="L184" s="134"/>
      <c r="M184" s="134"/>
      <c r="N184" s="135"/>
      <c r="O184" s="135"/>
      <c r="P184" s="94"/>
      <c r="Q184" s="61"/>
      <c r="R184" s="62"/>
      <c r="S184" s="51"/>
    </row>
    <row r="185" spans="1:19" ht="30" customHeight="1" x14ac:dyDescent="0.25">
      <c r="A185" s="15"/>
      <c r="B185" s="119"/>
      <c r="C185" s="136" t="s">
        <v>41</v>
      </c>
      <c r="D185" s="120">
        <v>2012</v>
      </c>
      <c r="E185" s="137">
        <v>2260.2800000000002</v>
      </c>
      <c r="F185" s="118">
        <v>3.18</v>
      </c>
      <c r="G185" s="118">
        <v>6444.64</v>
      </c>
      <c r="H185" s="94">
        <v>20342.52</v>
      </c>
      <c r="I185" s="84"/>
      <c r="J185" s="84"/>
      <c r="K185" s="94"/>
      <c r="L185" s="138"/>
      <c r="M185" s="138"/>
      <c r="N185" s="139"/>
      <c r="O185" s="139"/>
      <c r="P185" s="94">
        <v>0</v>
      </c>
      <c r="Q185" s="63"/>
      <c r="R185" s="64"/>
      <c r="S185" s="51"/>
    </row>
    <row r="186" spans="1:19" ht="30" customHeight="1" x14ac:dyDescent="0.25">
      <c r="A186" s="15"/>
      <c r="B186" s="119"/>
      <c r="C186" s="136" t="s">
        <v>66</v>
      </c>
      <c r="D186" s="120">
        <v>2012</v>
      </c>
      <c r="E186" s="137">
        <v>489.61</v>
      </c>
      <c r="F186" s="118">
        <v>3.18</v>
      </c>
      <c r="G186" s="118">
        <v>1556.96</v>
      </c>
      <c r="H186" s="94">
        <v>4406.49</v>
      </c>
      <c r="I186" s="84"/>
      <c r="J186" s="84"/>
      <c r="K186" s="94"/>
      <c r="L186" s="138"/>
      <c r="M186" s="138"/>
      <c r="N186" s="139"/>
      <c r="O186" s="139"/>
      <c r="P186" s="94"/>
      <c r="Q186" s="63"/>
      <c r="R186" s="64"/>
      <c r="S186" s="51"/>
    </row>
    <row r="187" spans="1:19" ht="40.5" customHeight="1" x14ac:dyDescent="0.25">
      <c r="A187" s="17"/>
      <c r="B187" s="122"/>
      <c r="C187" s="132" t="s">
        <v>41</v>
      </c>
      <c r="D187" s="96" t="s">
        <v>25</v>
      </c>
      <c r="E187" s="89">
        <f>SUM(E183:E186)</f>
        <v>5495.3</v>
      </c>
      <c r="F187" s="89"/>
      <c r="G187" s="87">
        <f t="shared" ref="G187:H187" si="40">SUM(G183:G186)</f>
        <v>16732.003800000002</v>
      </c>
      <c r="H187" s="87">
        <f t="shared" si="40"/>
        <v>32985.24</v>
      </c>
      <c r="I187" s="87"/>
      <c r="J187" s="87"/>
      <c r="K187" s="87"/>
      <c r="L187" s="114"/>
      <c r="M187" s="114"/>
      <c r="N187" s="140"/>
      <c r="O187" s="140"/>
      <c r="P187" s="87">
        <v>0</v>
      </c>
      <c r="Q187" s="65"/>
      <c r="R187" s="66"/>
      <c r="S187" s="50"/>
    </row>
    <row r="188" spans="1:19" ht="30" customHeight="1" x14ac:dyDescent="0.25">
      <c r="A188" s="15"/>
      <c r="B188" s="119"/>
      <c r="C188" s="136" t="s">
        <v>41</v>
      </c>
      <c r="D188" s="120">
        <v>2013</v>
      </c>
      <c r="E188" s="137">
        <v>2300.31</v>
      </c>
      <c r="F188" s="118">
        <v>3.18</v>
      </c>
      <c r="G188" s="94">
        <f>E188*F188</f>
        <v>7314.9858000000004</v>
      </c>
      <c r="H188" s="94">
        <v>34504.65</v>
      </c>
      <c r="I188" s="84"/>
      <c r="J188" s="84"/>
      <c r="K188" s="94"/>
      <c r="L188" s="138"/>
      <c r="M188" s="138"/>
      <c r="N188" s="139"/>
      <c r="O188" s="139"/>
      <c r="P188" s="94">
        <v>0</v>
      </c>
      <c r="Q188" s="63"/>
      <c r="R188" s="64"/>
      <c r="S188" s="51"/>
    </row>
    <row r="189" spans="1:19" ht="27.75" customHeight="1" x14ac:dyDescent="0.25">
      <c r="A189" s="15"/>
      <c r="B189" s="119"/>
      <c r="C189" s="136" t="s">
        <v>66</v>
      </c>
      <c r="D189" s="120">
        <v>2013</v>
      </c>
      <c r="E189" s="137">
        <v>328.8</v>
      </c>
      <c r="F189" s="118">
        <v>3.18</v>
      </c>
      <c r="G189" s="94">
        <f>E189*F189</f>
        <v>1045.5840000000001</v>
      </c>
      <c r="H189" s="94">
        <v>4932</v>
      </c>
      <c r="I189" s="84"/>
      <c r="J189" s="84"/>
      <c r="K189" s="94"/>
      <c r="L189" s="138"/>
      <c r="M189" s="138"/>
      <c r="N189" s="139"/>
      <c r="O189" s="139"/>
      <c r="P189" s="94"/>
      <c r="Q189" s="63"/>
      <c r="R189" s="64"/>
      <c r="S189" s="51"/>
    </row>
    <row r="190" spans="1:19" ht="36.75" customHeight="1" x14ac:dyDescent="0.25">
      <c r="A190" s="17"/>
      <c r="B190" s="122"/>
      <c r="C190" s="132" t="s">
        <v>41</v>
      </c>
      <c r="D190" s="96" t="s">
        <v>38</v>
      </c>
      <c r="E190" s="89">
        <f>SUM(E187:E189)</f>
        <v>8124.4100000000008</v>
      </c>
      <c r="F190" s="89"/>
      <c r="G190" s="87">
        <f t="shared" ref="G190:H190" si="41">SUM(G187:G189)</f>
        <v>25092.5736</v>
      </c>
      <c r="H190" s="87">
        <f t="shared" si="41"/>
        <v>72421.89</v>
      </c>
      <c r="I190" s="87"/>
      <c r="J190" s="87"/>
      <c r="K190" s="87"/>
      <c r="L190" s="114"/>
      <c r="M190" s="114"/>
      <c r="N190" s="140"/>
      <c r="O190" s="140"/>
      <c r="P190" s="87">
        <v>0</v>
      </c>
      <c r="Q190" s="65"/>
      <c r="R190" s="66"/>
      <c r="S190" s="50"/>
    </row>
    <row r="191" spans="1:19" ht="25.5" x14ac:dyDescent="0.25">
      <c r="A191" s="15"/>
      <c r="B191" s="119"/>
      <c r="C191" s="136" t="s">
        <v>41</v>
      </c>
      <c r="D191" s="120">
        <v>2014</v>
      </c>
      <c r="E191" s="137">
        <v>2139.48</v>
      </c>
      <c r="F191" s="118">
        <v>3.18</v>
      </c>
      <c r="G191" s="94">
        <f>E191*F191</f>
        <v>6803.5464000000002</v>
      </c>
      <c r="H191" s="94">
        <v>47068.56</v>
      </c>
      <c r="I191" s="84"/>
      <c r="J191" s="84"/>
      <c r="K191" s="94"/>
      <c r="L191" s="138"/>
      <c r="M191" s="138"/>
      <c r="N191" s="139"/>
      <c r="O191" s="139"/>
      <c r="P191" s="94">
        <v>0</v>
      </c>
      <c r="Q191" s="63"/>
      <c r="R191" s="64"/>
      <c r="S191" s="51"/>
    </row>
    <row r="192" spans="1:19" ht="25.5" x14ac:dyDescent="0.25">
      <c r="A192" s="15"/>
      <c r="B192" s="119"/>
      <c r="C192" s="136" t="s">
        <v>66</v>
      </c>
      <c r="D192" s="120">
        <v>2014</v>
      </c>
      <c r="E192" s="137">
        <v>1451.76</v>
      </c>
      <c r="F192" s="118">
        <v>3.18</v>
      </c>
      <c r="G192" s="94">
        <f>E192*F192</f>
        <v>4616.5968000000003</v>
      </c>
      <c r="H192" s="94">
        <v>31938.720000000001</v>
      </c>
      <c r="I192" s="84"/>
      <c r="J192" s="84"/>
      <c r="K192" s="94"/>
      <c r="L192" s="138"/>
      <c r="M192" s="138"/>
      <c r="N192" s="139"/>
      <c r="O192" s="139"/>
      <c r="P192" s="94"/>
      <c r="Q192" s="63"/>
      <c r="R192" s="64"/>
      <c r="S192" s="51"/>
    </row>
    <row r="193" spans="1:20" ht="37.5" customHeight="1" x14ac:dyDescent="0.25">
      <c r="A193" s="17"/>
      <c r="B193" s="122"/>
      <c r="C193" s="132" t="s">
        <v>41</v>
      </c>
      <c r="D193" s="96" t="s">
        <v>24</v>
      </c>
      <c r="E193" s="89">
        <f>SUM(E190:E192)</f>
        <v>11715.650000000001</v>
      </c>
      <c r="F193" s="89"/>
      <c r="G193" s="87">
        <f t="shared" ref="G193:H193" si="42">SUM(G190:G192)</f>
        <v>36512.716800000002</v>
      </c>
      <c r="H193" s="87">
        <f t="shared" si="42"/>
        <v>151429.16999999998</v>
      </c>
      <c r="I193" s="87"/>
      <c r="J193" s="87"/>
      <c r="K193" s="87"/>
      <c r="L193" s="114"/>
      <c r="M193" s="114"/>
      <c r="N193" s="140"/>
      <c r="O193" s="140"/>
      <c r="P193" s="87">
        <v>0</v>
      </c>
      <c r="Q193" s="65"/>
      <c r="R193" s="66"/>
      <c r="S193" s="50"/>
    </row>
    <row r="194" spans="1:20" ht="30" customHeight="1" x14ac:dyDescent="0.25">
      <c r="A194" s="15"/>
      <c r="B194" s="119"/>
      <c r="C194" s="136" t="s">
        <v>41</v>
      </c>
      <c r="D194" s="120">
        <v>2015</v>
      </c>
      <c r="E194" s="137">
        <v>1891.8</v>
      </c>
      <c r="F194" s="141">
        <v>3.37</v>
      </c>
      <c r="G194" s="94">
        <f>E194*F194</f>
        <v>6375.366</v>
      </c>
      <c r="H194" s="94">
        <v>52970.400000000001</v>
      </c>
      <c r="I194" s="84"/>
      <c r="J194" s="84"/>
      <c r="K194" s="94"/>
      <c r="L194" s="138"/>
      <c r="M194" s="138"/>
      <c r="N194" s="139"/>
      <c r="O194" s="139"/>
      <c r="P194" s="94">
        <v>0</v>
      </c>
      <c r="Q194" s="63"/>
      <c r="R194" s="64"/>
      <c r="S194" s="51"/>
    </row>
    <row r="195" spans="1:20" ht="30" customHeight="1" x14ac:dyDescent="0.25">
      <c r="A195" s="15"/>
      <c r="B195" s="119"/>
      <c r="C195" s="136" t="s">
        <v>66</v>
      </c>
      <c r="D195" s="120">
        <v>2015</v>
      </c>
      <c r="E195" s="137">
        <v>332.45</v>
      </c>
      <c r="F195" s="141">
        <v>3.37</v>
      </c>
      <c r="G195" s="94">
        <f>E195*F195</f>
        <v>1120.3565000000001</v>
      </c>
      <c r="H195" s="94">
        <v>9308.6</v>
      </c>
      <c r="I195" s="84"/>
      <c r="J195" s="84"/>
      <c r="K195" s="94"/>
      <c r="L195" s="138"/>
      <c r="M195" s="138"/>
      <c r="N195" s="139"/>
      <c r="O195" s="139"/>
      <c r="P195" s="94"/>
      <c r="Q195" s="63"/>
      <c r="R195" s="64"/>
      <c r="S195" s="51"/>
    </row>
    <row r="196" spans="1:20" ht="39" customHeight="1" x14ac:dyDescent="0.25">
      <c r="A196" s="17"/>
      <c r="B196" s="122"/>
      <c r="C196" s="132" t="s">
        <v>41</v>
      </c>
      <c r="D196" s="96" t="s">
        <v>26</v>
      </c>
      <c r="E196" s="89">
        <f>SUM(E193:E195)</f>
        <v>13939.900000000001</v>
      </c>
      <c r="F196" s="89"/>
      <c r="G196" s="87">
        <f t="shared" ref="G196:H196" si="43">SUM(G193:G195)</f>
        <v>44008.439300000005</v>
      </c>
      <c r="H196" s="87">
        <f t="shared" si="43"/>
        <v>213708.16999999998</v>
      </c>
      <c r="I196" s="87"/>
      <c r="J196" s="87"/>
      <c r="K196" s="87"/>
      <c r="L196" s="114"/>
      <c r="M196" s="114"/>
      <c r="N196" s="140"/>
      <c r="O196" s="140"/>
      <c r="P196" s="87">
        <v>0</v>
      </c>
      <c r="Q196" s="65"/>
      <c r="R196" s="66"/>
      <c r="S196" s="50"/>
    </row>
    <row r="197" spans="1:20" ht="32.25" customHeight="1" x14ac:dyDescent="0.25">
      <c r="A197" s="15"/>
      <c r="B197" s="119"/>
      <c r="C197" s="136" t="s">
        <v>41</v>
      </c>
      <c r="D197" s="99" t="s">
        <v>29</v>
      </c>
      <c r="E197" s="93">
        <v>332.94</v>
      </c>
      <c r="F197" s="142">
        <v>3.37</v>
      </c>
      <c r="G197" s="94">
        <f>E197*F197</f>
        <v>1122.0078000000001</v>
      </c>
      <c r="H197" s="94">
        <v>11985.84</v>
      </c>
      <c r="I197" s="94"/>
      <c r="J197" s="94"/>
      <c r="K197" s="94"/>
      <c r="L197" s="138"/>
      <c r="M197" s="138"/>
      <c r="N197" s="139"/>
      <c r="O197" s="139"/>
      <c r="P197" s="84">
        <v>37200</v>
      </c>
      <c r="Q197" s="63"/>
      <c r="R197" s="64"/>
      <c r="S197" s="51"/>
    </row>
    <row r="198" spans="1:20" ht="27" customHeight="1" x14ac:dyDescent="0.25">
      <c r="A198" s="15"/>
      <c r="B198" s="119"/>
      <c r="C198" s="136" t="s">
        <v>66</v>
      </c>
      <c r="D198" s="99" t="s">
        <v>29</v>
      </c>
      <c r="E198" s="93">
        <v>80.14</v>
      </c>
      <c r="F198" s="142">
        <v>3.37</v>
      </c>
      <c r="G198" s="94">
        <f>E198*F198</f>
        <v>270.0718</v>
      </c>
      <c r="H198" s="94">
        <v>2885.04</v>
      </c>
      <c r="I198" s="94"/>
      <c r="J198" s="94"/>
      <c r="K198" s="94"/>
      <c r="L198" s="138"/>
      <c r="M198" s="138"/>
      <c r="N198" s="139"/>
      <c r="O198" s="139"/>
      <c r="P198" s="84"/>
      <c r="Q198" s="63"/>
      <c r="R198" s="64"/>
      <c r="S198" s="51"/>
    </row>
    <row r="199" spans="1:20" ht="38.25" x14ac:dyDescent="0.25">
      <c r="A199" s="17"/>
      <c r="B199" s="122"/>
      <c r="C199" s="132" t="s">
        <v>41</v>
      </c>
      <c r="D199" s="100" t="s">
        <v>30</v>
      </c>
      <c r="E199" s="89">
        <f>SUM(E196:E198)</f>
        <v>14352.980000000001</v>
      </c>
      <c r="F199" s="89"/>
      <c r="G199" s="87">
        <f t="shared" ref="G199:H199" si="44">SUM(G196:G198)</f>
        <v>45400.518900000003</v>
      </c>
      <c r="H199" s="87">
        <f t="shared" si="44"/>
        <v>228579.05</v>
      </c>
      <c r="I199" s="87"/>
      <c r="J199" s="87"/>
      <c r="K199" s="87"/>
      <c r="L199" s="114"/>
      <c r="M199" s="114"/>
      <c r="N199" s="140"/>
      <c r="O199" s="140"/>
      <c r="P199" s="87">
        <v>37200</v>
      </c>
      <c r="Q199" s="65"/>
      <c r="R199" s="66"/>
      <c r="S199" s="50"/>
    </row>
    <row r="200" spans="1:20" ht="26.25" customHeight="1" x14ac:dyDescent="0.25">
      <c r="A200" s="15"/>
      <c r="B200" s="119"/>
      <c r="C200" s="136" t="s">
        <v>41</v>
      </c>
      <c r="D200" s="99" t="s">
        <v>31</v>
      </c>
      <c r="E200" s="93">
        <v>351.86</v>
      </c>
      <c r="F200" s="142">
        <v>3.37</v>
      </c>
      <c r="G200" s="94">
        <f>E200*F200</f>
        <v>1185.7682</v>
      </c>
      <c r="H200" s="94">
        <v>12666.96</v>
      </c>
      <c r="I200" s="94"/>
      <c r="J200" s="94"/>
      <c r="K200" s="94"/>
      <c r="L200" s="138"/>
      <c r="M200" s="138"/>
      <c r="N200" s="139"/>
      <c r="O200" s="139"/>
      <c r="P200" s="84">
        <v>0</v>
      </c>
      <c r="Q200" s="63"/>
      <c r="R200" s="64"/>
      <c r="S200" s="51"/>
    </row>
    <row r="201" spans="1:20" ht="38.25" x14ac:dyDescent="0.25">
      <c r="A201" s="15"/>
      <c r="B201" s="119"/>
      <c r="C201" s="101" t="s">
        <v>43</v>
      </c>
      <c r="D201" s="99"/>
      <c r="E201" s="93">
        <v>14.26</v>
      </c>
      <c r="F201" s="141">
        <v>0</v>
      </c>
      <c r="G201" s="142">
        <v>0</v>
      </c>
      <c r="H201" s="142">
        <v>0</v>
      </c>
      <c r="I201" s="141"/>
      <c r="J201" s="141"/>
      <c r="K201" s="94"/>
      <c r="L201" s="138"/>
      <c r="M201" s="138"/>
      <c r="N201" s="139"/>
      <c r="O201" s="139"/>
      <c r="P201" s="84"/>
      <c r="Q201" s="63"/>
      <c r="R201" s="64"/>
      <c r="S201" s="51"/>
    </row>
    <row r="202" spans="1:20" ht="26.25" customHeight="1" x14ac:dyDescent="0.25">
      <c r="A202" s="15"/>
      <c r="B202" s="119"/>
      <c r="C202" s="149" t="s">
        <v>66</v>
      </c>
      <c r="D202" s="99" t="s">
        <v>31</v>
      </c>
      <c r="E202" s="93">
        <v>80.72</v>
      </c>
      <c r="F202" s="141">
        <v>3.37</v>
      </c>
      <c r="G202" s="94">
        <f t="shared" ref="G202" si="45">E202*F202</f>
        <v>272.02640000000002</v>
      </c>
      <c r="H202" s="94">
        <v>2905.92</v>
      </c>
      <c r="I202" s="84"/>
      <c r="J202" s="84"/>
      <c r="K202" s="94"/>
      <c r="L202" s="138"/>
      <c r="M202" s="138"/>
      <c r="N202" s="139"/>
      <c r="O202" s="139"/>
      <c r="P202" s="84"/>
      <c r="Q202" s="63"/>
      <c r="R202" s="64"/>
      <c r="S202" s="51"/>
    </row>
    <row r="203" spans="1:20" ht="45.75" customHeight="1" x14ac:dyDescent="0.25">
      <c r="A203" s="17"/>
      <c r="B203" s="122"/>
      <c r="C203" s="132" t="s">
        <v>41</v>
      </c>
      <c r="D203" s="100" t="s">
        <v>32</v>
      </c>
      <c r="E203" s="89">
        <f>SUM(E199:E202)</f>
        <v>14799.820000000002</v>
      </c>
      <c r="F203" s="89"/>
      <c r="G203" s="87">
        <f t="shared" ref="G203:H203" si="46">SUM(G199:G202)</f>
        <v>46858.313500000004</v>
      </c>
      <c r="H203" s="87">
        <f t="shared" si="46"/>
        <v>244151.93</v>
      </c>
      <c r="I203" s="87"/>
      <c r="J203" s="87"/>
      <c r="K203" s="87"/>
      <c r="L203" s="114"/>
      <c r="M203" s="114"/>
      <c r="N203" s="140"/>
      <c r="O203" s="140"/>
      <c r="P203" s="87">
        <v>37200</v>
      </c>
      <c r="Q203" s="65"/>
      <c r="R203" s="66"/>
      <c r="S203" s="50"/>
    </row>
    <row r="204" spans="1:20" ht="27.75" customHeight="1" x14ac:dyDescent="0.25">
      <c r="A204" s="15"/>
      <c r="B204" s="119"/>
      <c r="C204" s="136" t="s">
        <v>41</v>
      </c>
      <c r="D204" s="99" t="s">
        <v>33</v>
      </c>
      <c r="E204" s="137">
        <v>364.82</v>
      </c>
      <c r="F204" s="141">
        <v>3.37</v>
      </c>
      <c r="G204" s="94">
        <f>E204*F204</f>
        <v>1229.4434000000001</v>
      </c>
      <c r="H204" s="94">
        <v>13133.52</v>
      </c>
      <c r="I204" s="84"/>
      <c r="J204" s="84"/>
      <c r="K204" s="94"/>
      <c r="L204" s="138"/>
      <c r="M204" s="134"/>
      <c r="N204" s="139"/>
      <c r="O204" s="139"/>
      <c r="P204" s="84">
        <v>0</v>
      </c>
      <c r="Q204" s="63"/>
      <c r="R204" s="64"/>
      <c r="S204" s="51"/>
    </row>
    <row r="205" spans="1:20" ht="25.5" x14ac:dyDescent="0.25">
      <c r="A205" s="150"/>
      <c r="B205" s="151"/>
      <c r="C205" s="136" t="s">
        <v>66</v>
      </c>
      <c r="D205" s="99" t="s">
        <v>33</v>
      </c>
      <c r="E205" s="152">
        <v>85.42</v>
      </c>
      <c r="F205" s="153">
        <v>3.37</v>
      </c>
      <c r="G205" s="94">
        <f>E205*F205</f>
        <v>287.86540000000002</v>
      </c>
      <c r="H205" s="148">
        <v>3075.12</v>
      </c>
      <c r="I205" s="154"/>
      <c r="J205" s="154"/>
      <c r="K205" s="94"/>
      <c r="L205" s="155"/>
      <c r="M205" s="156"/>
      <c r="N205" s="157"/>
      <c r="O205" s="157"/>
      <c r="P205" s="84"/>
      <c r="Q205" s="158"/>
      <c r="R205" s="159"/>
      <c r="S205" s="51"/>
    </row>
    <row r="206" spans="1:20" ht="42" customHeight="1" x14ac:dyDescent="0.25">
      <c r="A206" s="25"/>
      <c r="B206" s="143"/>
      <c r="C206" s="132" t="s">
        <v>41</v>
      </c>
      <c r="D206" s="100" t="s">
        <v>35</v>
      </c>
      <c r="E206" s="144">
        <f>SUM(E203:E205)</f>
        <v>15250.060000000001</v>
      </c>
      <c r="F206" s="144"/>
      <c r="G206" s="87">
        <f t="shared" ref="G206:H206" si="47">SUM(G203:G205)</f>
        <v>48375.62230000001</v>
      </c>
      <c r="H206" s="87">
        <f t="shared" si="47"/>
        <v>260360.56999999998</v>
      </c>
      <c r="I206" s="87"/>
      <c r="J206" s="87"/>
      <c r="K206" s="87"/>
      <c r="L206" s="145"/>
      <c r="M206" s="145"/>
      <c r="N206" s="146"/>
      <c r="O206" s="146"/>
      <c r="P206" s="87">
        <v>37200</v>
      </c>
      <c r="Q206" s="67"/>
      <c r="R206" s="68"/>
      <c r="S206" s="50"/>
    </row>
    <row r="207" spans="1:20" ht="25.5" x14ac:dyDescent="0.25">
      <c r="A207" s="16"/>
      <c r="B207" s="119"/>
      <c r="C207" s="136" t="s">
        <v>41</v>
      </c>
      <c r="D207" s="99" t="s">
        <v>34</v>
      </c>
      <c r="E207" s="137">
        <v>360.98</v>
      </c>
      <c r="F207" s="141">
        <v>3.37</v>
      </c>
      <c r="G207" s="94">
        <f>E207*F207</f>
        <v>1216.5026</v>
      </c>
      <c r="H207" s="94">
        <v>12995.28</v>
      </c>
      <c r="I207" s="84"/>
      <c r="J207" s="84"/>
      <c r="K207" s="94"/>
      <c r="L207" s="139"/>
      <c r="M207" s="139"/>
      <c r="N207" s="139"/>
      <c r="O207" s="139"/>
      <c r="P207" s="84">
        <v>0</v>
      </c>
      <c r="Q207" s="63"/>
      <c r="R207" s="69"/>
      <c r="S207" s="51"/>
      <c r="T207" s="2"/>
    </row>
    <row r="208" spans="1:20" ht="25.5" x14ac:dyDescent="0.25">
      <c r="A208" s="16"/>
      <c r="B208" s="119"/>
      <c r="C208" s="136" t="s">
        <v>66</v>
      </c>
      <c r="D208" s="99" t="s">
        <v>34</v>
      </c>
      <c r="E208" s="152">
        <v>74.42</v>
      </c>
      <c r="F208" s="141">
        <v>3.37</v>
      </c>
      <c r="G208" s="94">
        <f>E208*F208</f>
        <v>250.7954</v>
      </c>
      <c r="H208" s="148">
        <v>2679.12</v>
      </c>
      <c r="I208" s="154"/>
      <c r="J208" s="154"/>
      <c r="K208" s="94"/>
      <c r="L208" s="139"/>
      <c r="M208" s="139"/>
      <c r="N208" s="139"/>
      <c r="O208" s="139"/>
      <c r="P208" s="84"/>
      <c r="Q208" s="63"/>
      <c r="R208" s="69"/>
      <c r="S208" s="51"/>
      <c r="T208" s="2"/>
    </row>
    <row r="209" spans="1:19" ht="42.75" customHeight="1" x14ac:dyDescent="0.25">
      <c r="A209" s="18"/>
      <c r="B209" s="122"/>
      <c r="C209" s="132" t="s">
        <v>41</v>
      </c>
      <c r="D209" s="100" t="s">
        <v>36</v>
      </c>
      <c r="E209" s="144">
        <f>SUM(E206:E208)</f>
        <v>15685.460000000001</v>
      </c>
      <c r="F209" s="144"/>
      <c r="G209" s="87">
        <f t="shared" ref="G209:H209" si="48">SUM(G206:G208)</f>
        <v>49842.920300000013</v>
      </c>
      <c r="H209" s="87">
        <f t="shared" si="48"/>
        <v>276034.96999999997</v>
      </c>
      <c r="I209" s="87"/>
      <c r="J209" s="87"/>
      <c r="K209" s="87"/>
      <c r="L209" s="140"/>
      <c r="M209" s="140"/>
      <c r="N209" s="140"/>
      <c r="O209" s="140"/>
      <c r="P209" s="87">
        <v>37200</v>
      </c>
      <c r="Q209" s="65"/>
      <c r="R209" s="70"/>
      <c r="S209" s="50"/>
    </row>
    <row r="210" spans="1:19" s="2" customFormat="1" ht="25.5" x14ac:dyDescent="0.25">
      <c r="A210" s="20"/>
      <c r="B210" s="129"/>
      <c r="C210" s="136" t="s">
        <v>41</v>
      </c>
      <c r="D210" s="99" t="s">
        <v>57</v>
      </c>
      <c r="E210" s="147">
        <v>341.56</v>
      </c>
      <c r="F210" s="141">
        <v>3.37</v>
      </c>
      <c r="G210" s="148">
        <f>E210*F210</f>
        <v>1151.0572</v>
      </c>
      <c r="H210" s="148">
        <v>13662.4</v>
      </c>
      <c r="I210" s="148"/>
      <c r="J210" s="148"/>
      <c r="K210" s="94"/>
      <c r="L210" s="135"/>
      <c r="M210" s="135"/>
      <c r="N210" s="135"/>
      <c r="O210" s="135"/>
      <c r="P210" s="94">
        <v>0</v>
      </c>
      <c r="Q210" s="61"/>
      <c r="R210" s="71"/>
      <c r="S210" s="47"/>
    </row>
    <row r="211" spans="1:19" s="2" customFormat="1" ht="25.5" x14ac:dyDescent="0.25">
      <c r="A211" s="20"/>
      <c r="B211" s="129"/>
      <c r="C211" s="136" t="s">
        <v>66</v>
      </c>
      <c r="D211" s="99" t="s">
        <v>57</v>
      </c>
      <c r="E211" s="147">
        <v>32.36</v>
      </c>
      <c r="F211" s="153">
        <v>3.37</v>
      </c>
      <c r="G211" s="148">
        <f>E211*F211</f>
        <v>109.0532</v>
      </c>
      <c r="H211" s="148">
        <v>1294.4000000000001</v>
      </c>
      <c r="I211" s="148"/>
      <c r="J211" s="148"/>
      <c r="K211" s="94"/>
      <c r="L211" s="135"/>
      <c r="M211" s="135"/>
      <c r="N211" s="135"/>
      <c r="O211" s="135"/>
      <c r="P211" s="94"/>
      <c r="Q211" s="61"/>
      <c r="R211" s="71"/>
      <c r="S211" s="47"/>
    </row>
    <row r="212" spans="1:19" s="2" customFormat="1" ht="38.25" x14ac:dyDescent="0.25">
      <c r="A212" s="18"/>
      <c r="B212" s="122"/>
      <c r="C212" s="132" t="s">
        <v>41</v>
      </c>
      <c r="D212" s="100" t="s">
        <v>58</v>
      </c>
      <c r="E212" s="144">
        <f>SUM(E209:E211)</f>
        <v>16059.380000000001</v>
      </c>
      <c r="F212" s="144"/>
      <c r="G212" s="87">
        <f t="shared" ref="G212:H212" si="49">SUM(G209:G211)</f>
        <v>51103.030700000018</v>
      </c>
      <c r="H212" s="87">
        <f t="shared" si="49"/>
        <v>290991.77</v>
      </c>
      <c r="I212" s="87"/>
      <c r="J212" s="87"/>
      <c r="K212" s="87"/>
      <c r="L212" s="140"/>
      <c r="M212" s="140"/>
      <c r="N212" s="140"/>
      <c r="O212" s="140"/>
      <c r="P212" s="87">
        <v>37200</v>
      </c>
      <c r="Q212" s="65"/>
      <c r="R212" s="70"/>
      <c r="S212" s="50"/>
    </row>
    <row r="213" spans="1:19" s="2" customFormat="1" ht="25.5" x14ac:dyDescent="0.25">
      <c r="A213" s="20"/>
      <c r="B213" s="129"/>
      <c r="C213" s="136" t="s">
        <v>41</v>
      </c>
      <c r="D213" s="99" t="s">
        <v>61</v>
      </c>
      <c r="E213" s="147">
        <v>523.26</v>
      </c>
      <c r="F213" s="141">
        <v>3.37</v>
      </c>
      <c r="G213" s="148">
        <f>E213*F213</f>
        <v>1763.3861999999999</v>
      </c>
      <c r="H213" s="148">
        <v>20930.400000000001</v>
      </c>
      <c r="I213" s="148"/>
      <c r="J213" s="148"/>
      <c r="K213" s="94"/>
      <c r="L213" s="135"/>
      <c r="M213" s="135"/>
      <c r="N213" s="135"/>
      <c r="O213" s="135"/>
      <c r="P213" s="94">
        <v>43688.34</v>
      </c>
      <c r="Q213" s="61"/>
      <c r="R213" s="71"/>
      <c r="S213" s="47"/>
    </row>
    <row r="214" spans="1:19" s="2" customFormat="1" ht="25.5" x14ac:dyDescent="0.25">
      <c r="A214" s="20"/>
      <c r="B214" s="129"/>
      <c r="C214" s="136" t="s">
        <v>66</v>
      </c>
      <c r="D214" s="99" t="s">
        <v>61</v>
      </c>
      <c r="E214" s="147">
        <v>87.44</v>
      </c>
      <c r="F214" s="153">
        <v>3.37</v>
      </c>
      <c r="G214" s="148">
        <f>E214*F214</f>
        <v>294.6728</v>
      </c>
      <c r="H214" s="148">
        <v>3497.6</v>
      </c>
      <c r="I214" s="148"/>
      <c r="J214" s="148"/>
      <c r="K214" s="94"/>
      <c r="L214" s="135"/>
      <c r="M214" s="135"/>
      <c r="N214" s="135"/>
      <c r="O214" s="135"/>
      <c r="P214" s="94"/>
      <c r="Q214" s="61"/>
      <c r="R214" s="71"/>
      <c r="S214" s="47"/>
    </row>
    <row r="215" spans="1:19" s="2" customFormat="1" ht="39" customHeight="1" x14ac:dyDescent="0.25">
      <c r="A215" s="18"/>
      <c r="B215" s="122"/>
      <c r="C215" s="132" t="s">
        <v>41</v>
      </c>
      <c r="D215" s="100" t="s">
        <v>63</v>
      </c>
      <c r="E215" s="144">
        <f>SUM(E212:E214)</f>
        <v>16670.079999999998</v>
      </c>
      <c r="F215" s="144"/>
      <c r="G215" s="87">
        <f t="shared" ref="G215:H215" si="50">SUM(G212:G214)</f>
        <v>53161.089700000019</v>
      </c>
      <c r="H215" s="87">
        <f t="shared" si="50"/>
        <v>315419.77</v>
      </c>
      <c r="I215" s="87"/>
      <c r="J215" s="87"/>
      <c r="K215" s="87"/>
      <c r="L215" s="140"/>
      <c r="M215" s="140"/>
      <c r="N215" s="140"/>
      <c r="O215" s="140"/>
      <c r="P215" s="87">
        <f>SUM(P212:P213)</f>
        <v>80888.34</v>
      </c>
      <c r="Q215" s="65"/>
      <c r="R215" s="70"/>
      <c r="S215" s="50"/>
    </row>
    <row r="216" spans="1:19" s="2" customFormat="1" ht="29.25" customHeight="1" x14ac:dyDescent="0.25">
      <c r="A216" s="20"/>
      <c r="B216" s="129"/>
      <c r="C216" s="131" t="s">
        <v>41</v>
      </c>
      <c r="D216" s="99" t="s">
        <v>64</v>
      </c>
      <c r="E216" s="147">
        <v>573.9</v>
      </c>
      <c r="F216" s="153">
        <v>3.37</v>
      </c>
      <c r="G216" s="148">
        <f>E216*F216</f>
        <v>1934.0429999999999</v>
      </c>
      <c r="H216" s="148">
        <v>22956</v>
      </c>
      <c r="I216" s="148"/>
      <c r="J216" s="148"/>
      <c r="K216" s="148"/>
      <c r="L216" s="135"/>
      <c r="M216" s="135"/>
      <c r="N216" s="135"/>
      <c r="O216" s="135"/>
      <c r="P216" s="94">
        <v>0</v>
      </c>
      <c r="Q216" s="61"/>
      <c r="R216" s="71"/>
      <c r="S216" s="47"/>
    </row>
    <row r="217" spans="1:19" s="2" customFormat="1" ht="41.25" customHeight="1" x14ac:dyDescent="0.25">
      <c r="A217" s="20"/>
      <c r="B217" s="129"/>
      <c r="C217" s="131" t="s">
        <v>43</v>
      </c>
      <c r="D217" s="104"/>
      <c r="E217" s="147">
        <v>7.84</v>
      </c>
      <c r="F217" s="153">
        <v>0</v>
      </c>
      <c r="G217" s="148">
        <f t="shared" ref="G217:G218" si="51">E217*F217</f>
        <v>0</v>
      </c>
      <c r="H217" s="148">
        <f t="shared" ref="H217" si="52">F217*G217</f>
        <v>0</v>
      </c>
      <c r="I217" s="148"/>
      <c r="J217" s="148"/>
      <c r="K217" s="148"/>
      <c r="L217" s="135"/>
      <c r="M217" s="135"/>
      <c r="N217" s="135"/>
      <c r="O217" s="135"/>
      <c r="P217" s="94"/>
      <c r="Q217" s="61"/>
      <c r="R217" s="71"/>
      <c r="S217" s="47"/>
    </row>
    <row r="218" spans="1:19" s="2" customFormat="1" ht="27" customHeight="1" x14ac:dyDescent="0.25">
      <c r="A218" s="20"/>
      <c r="B218" s="129"/>
      <c r="C218" s="131" t="s">
        <v>66</v>
      </c>
      <c r="D218" s="99" t="s">
        <v>64</v>
      </c>
      <c r="E218" s="147">
        <v>92.44</v>
      </c>
      <c r="F218" s="153">
        <v>3.37</v>
      </c>
      <c r="G218" s="148">
        <f t="shared" si="51"/>
        <v>311.52280000000002</v>
      </c>
      <c r="H218" s="148">
        <v>3697.6</v>
      </c>
      <c r="I218" s="148"/>
      <c r="J218" s="148"/>
      <c r="K218" s="148"/>
      <c r="L218" s="135"/>
      <c r="M218" s="135"/>
      <c r="N218" s="135"/>
      <c r="O218" s="135"/>
      <c r="P218" s="94"/>
      <c r="Q218" s="61"/>
      <c r="R218" s="71"/>
      <c r="S218" s="47"/>
    </row>
    <row r="219" spans="1:19" s="2" customFormat="1" ht="41.25" customHeight="1" x14ac:dyDescent="0.25">
      <c r="A219" s="18"/>
      <c r="B219" s="122"/>
      <c r="C219" s="132" t="s">
        <v>41</v>
      </c>
      <c r="D219" s="100" t="s">
        <v>67</v>
      </c>
      <c r="E219" s="144">
        <f>SUM(E215:E218)</f>
        <v>17344.259999999998</v>
      </c>
      <c r="F219" s="144"/>
      <c r="G219" s="87">
        <f t="shared" ref="G219:H219" si="53">SUM(G215:G218)</f>
        <v>55406.655500000015</v>
      </c>
      <c r="H219" s="87">
        <f t="shared" si="53"/>
        <v>342073.37</v>
      </c>
      <c r="I219" s="87"/>
      <c r="J219" s="87"/>
      <c r="K219" s="87"/>
      <c r="L219" s="140"/>
      <c r="M219" s="140"/>
      <c r="N219" s="140"/>
      <c r="O219" s="140"/>
      <c r="P219" s="87">
        <v>80888.34</v>
      </c>
      <c r="Q219" s="65"/>
      <c r="R219" s="70"/>
      <c r="S219" s="50"/>
    </row>
    <row r="220" spans="1:19" s="2" customFormat="1" ht="28.5" customHeight="1" x14ac:dyDescent="0.25">
      <c r="A220" s="20"/>
      <c r="B220" s="129"/>
      <c r="C220" s="131" t="s">
        <v>41</v>
      </c>
      <c r="D220" s="99" t="s">
        <v>70</v>
      </c>
      <c r="E220" s="147">
        <v>326.77999999999997</v>
      </c>
      <c r="F220" s="153">
        <v>3.37</v>
      </c>
      <c r="G220" s="94">
        <v>1101.2485999999999</v>
      </c>
      <c r="H220" s="94">
        <v>13071.199999999999</v>
      </c>
      <c r="I220" s="94"/>
      <c r="J220" s="94"/>
      <c r="K220" s="94"/>
      <c r="L220" s="135"/>
      <c r="M220" s="135"/>
      <c r="N220" s="135"/>
      <c r="O220" s="135"/>
      <c r="P220" s="94">
        <v>0</v>
      </c>
      <c r="Q220" s="61"/>
      <c r="R220" s="71"/>
      <c r="S220" s="47"/>
    </row>
    <row r="221" spans="1:19" s="2" customFormat="1" ht="29.25" customHeight="1" x14ac:dyDescent="0.25">
      <c r="A221" s="20"/>
      <c r="B221" s="129"/>
      <c r="C221" s="131" t="s">
        <v>66</v>
      </c>
      <c r="D221" s="99" t="s">
        <v>70</v>
      </c>
      <c r="E221" s="147">
        <v>51.06</v>
      </c>
      <c r="F221" s="153">
        <v>3.37</v>
      </c>
      <c r="G221" s="94">
        <v>172.07220000000001</v>
      </c>
      <c r="H221" s="94">
        <v>2042.4</v>
      </c>
      <c r="I221" s="94"/>
      <c r="J221" s="94"/>
      <c r="K221" s="94"/>
      <c r="L221" s="135"/>
      <c r="M221" s="135"/>
      <c r="N221" s="135"/>
      <c r="O221" s="135"/>
      <c r="P221" s="94"/>
      <c r="Q221" s="61"/>
      <c r="R221" s="71"/>
      <c r="S221" s="47"/>
    </row>
    <row r="222" spans="1:19" s="2" customFormat="1" ht="41.25" customHeight="1" x14ac:dyDescent="0.25">
      <c r="A222" s="18"/>
      <c r="B222" s="122"/>
      <c r="C222" s="132" t="s">
        <v>41</v>
      </c>
      <c r="D222" s="100" t="s">
        <v>69</v>
      </c>
      <c r="E222" s="144">
        <f>SUM(E219:E221)</f>
        <v>17722.099999999999</v>
      </c>
      <c r="F222" s="144"/>
      <c r="G222" s="87">
        <f t="shared" ref="G222:H222" si="54">SUM(G219:G221)</f>
        <v>56679.976300000017</v>
      </c>
      <c r="H222" s="87">
        <f t="shared" si="54"/>
        <v>357186.97000000003</v>
      </c>
      <c r="I222" s="87"/>
      <c r="J222" s="87"/>
      <c r="K222" s="87"/>
      <c r="L222" s="140"/>
      <c r="M222" s="140"/>
      <c r="N222" s="140"/>
      <c r="O222" s="140"/>
      <c r="P222" s="87">
        <v>80888.34</v>
      </c>
      <c r="Q222" s="65"/>
      <c r="R222" s="70"/>
      <c r="S222" s="50"/>
    </row>
    <row r="223" spans="1:19" s="2" customFormat="1" ht="29.25" customHeight="1" x14ac:dyDescent="0.25">
      <c r="A223" s="20"/>
      <c r="B223" s="129"/>
      <c r="C223" s="131" t="s">
        <v>41</v>
      </c>
      <c r="D223" s="99" t="s">
        <v>71</v>
      </c>
      <c r="E223" s="147">
        <v>340.98</v>
      </c>
      <c r="F223" s="153">
        <v>3.45</v>
      </c>
      <c r="G223" s="94">
        <v>1176.3800000000001</v>
      </c>
      <c r="H223" s="94">
        <f>E223*45</f>
        <v>15344.1</v>
      </c>
      <c r="I223" s="94"/>
      <c r="J223" s="94"/>
      <c r="K223" s="94"/>
      <c r="L223" s="135"/>
      <c r="M223" s="135"/>
      <c r="N223" s="135"/>
      <c r="O223" s="135"/>
      <c r="P223" s="94">
        <v>64500</v>
      </c>
      <c r="Q223" s="61"/>
      <c r="R223" s="71"/>
      <c r="S223" s="47"/>
    </row>
    <row r="224" spans="1:19" s="2" customFormat="1" ht="27.75" customHeight="1" x14ac:dyDescent="0.25">
      <c r="A224" s="20"/>
      <c r="B224" s="129"/>
      <c r="C224" s="131" t="s">
        <v>66</v>
      </c>
      <c r="D224" s="99" t="s">
        <v>71</v>
      </c>
      <c r="E224" s="147">
        <v>75.040000000000006</v>
      </c>
      <c r="F224" s="153">
        <v>3.45</v>
      </c>
      <c r="G224" s="94">
        <f>SUM(E224*F224)</f>
        <v>258.88800000000003</v>
      </c>
      <c r="H224" s="94">
        <f>SUM(E224*45)</f>
        <v>3376.8</v>
      </c>
      <c r="I224" s="94"/>
      <c r="J224" s="94"/>
      <c r="K224" s="94"/>
      <c r="L224" s="135"/>
      <c r="M224" s="135"/>
      <c r="N224" s="135"/>
      <c r="O224" s="135"/>
      <c r="P224" s="94"/>
      <c r="Q224" s="61"/>
      <c r="R224" s="71"/>
      <c r="S224" s="47"/>
    </row>
    <row r="225" spans="1:19" s="2" customFormat="1" ht="45" customHeight="1" x14ac:dyDescent="0.25">
      <c r="A225" s="18"/>
      <c r="B225" s="122"/>
      <c r="C225" s="132" t="s">
        <v>41</v>
      </c>
      <c r="D225" s="100" t="s">
        <v>72</v>
      </c>
      <c r="E225" s="144">
        <f>SUM(E222:E224)</f>
        <v>18138.12</v>
      </c>
      <c r="F225" s="144"/>
      <c r="G225" s="87">
        <f t="shared" ref="G225:H225" si="55">SUM(G222:G224)</f>
        <v>58115.244300000013</v>
      </c>
      <c r="H225" s="87">
        <f t="shared" si="55"/>
        <v>375907.87</v>
      </c>
      <c r="I225" s="87"/>
      <c r="J225" s="87"/>
      <c r="K225" s="87"/>
      <c r="L225" s="140"/>
      <c r="M225" s="140"/>
      <c r="N225" s="140"/>
      <c r="O225" s="140"/>
      <c r="P225" s="87">
        <f>SUM(P222:P224)</f>
        <v>145388.34</v>
      </c>
      <c r="Q225" s="65"/>
      <c r="R225" s="70"/>
      <c r="S225" s="50"/>
    </row>
    <row r="226" spans="1:19" s="2" customFormat="1" ht="32.25" customHeight="1" x14ac:dyDescent="0.25">
      <c r="A226" s="20"/>
      <c r="B226" s="129"/>
      <c r="C226" s="131" t="s">
        <v>41</v>
      </c>
      <c r="D226" s="99" t="s">
        <v>73</v>
      </c>
      <c r="E226" s="147">
        <v>379.58</v>
      </c>
      <c r="F226" s="153">
        <v>3.45</v>
      </c>
      <c r="G226" s="94">
        <f>E226*F226</f>
        <v>1309.5509999999999</v>
      </c>
      <c r="H226" s="94">
        <f>E226*45</f>
        <v>17081.099999999999</v>
      </c>
      <c r="I226" s="94"/>
      <c r="J226" s="94"/>
      <c r="K226" s="94"/>
      <c r="L226" s="135"/>
      <c r="M226" s="135"/>
      <c r="N226" s="135"/>
      <c r="O226" s="135"/>
      <c r="P226" s="94">
        <v>0</v>
      </c>
      <c r="Q226" s="61"/>
      <c r="R226" s="71"/>
      <c r="S226" s="47"/>
    </row>
    <row r="227" spans="1:19" s="2" customFormat="1" ht="27" customHeight="1" x14ac:dyDescent="0.25">
      <c r="A227" s="20"/>
      <c r="B227" s="129"/>
      <c r="C227" s="131" t="s">
        <v>66</v>
      </c>
      <c r="D227" s="99" t="s">
        <v>73</v>
      </c>
      <c r="E227" s="147">
        <v>92.88</v>
      </c>
      <c r="F227" s="153">
        <v>3.45</v>
      </c>
      <c r="G227" s="94">
        <f>E227*F227</f>
        <v>320.43599999999998</v>
      </c>
      <c r="H227" s="94">
        <f>E227*45</f>
        <v>4179.5999999999995</v>
      </c>
      <c r="I227" s="94"/>
      <c r="J227" s="94"/>
      <c r="K227" s="94"/>
      <c r="L227" s="135"/>
      <c r="M227" s="135"/>
      <c r="N227" s="135"/>
      <c r="O227" s="135"/>
      <c r="P227" s="94">
        <v>0</v>
      </c>
      <c r="Q227" s="61"/>
      <c r="R227" s="71"/>
      <c r="S227" s="47"/>
    </row>
    <row r="228" spans="1:19" s="2" customFormat="1" ht="41.25" customHeight="1" x14ac:dyDescent="0.25">
      <c r="A228" s="18"/>
      <c r="B228" s="122"/>
      <c r="C228" s="132" t="s">
        <v>41</v>
      </c>
      <c r="D228" s="100" t="s">
        <v>74</v>
      </c>
      <c r="E228" s="144">
        <f>SUM(E225:E227)</f>
        <v>18610.580000000002</v>
      </c>
      <c r="F228" s="144"/>
      <c r="G228" s="87">
        <f>SUM(G225:G227)</f>
        <v>59745.231300000014</v>
      </c>
      <c r="H228" s="87">
        <f t="shared" ref="H228" si="56">SUM(H225:H227)</f>
        <v>397168.56999999995</v>
      </c>
      <c r="I228" s="87"/>
      <c r="J228" s="87"/>
      <c r="K228" s="87"/>
      <c r="L228" s="140"/>
      <c r="M228" s="140"/>
      <c r="N228" s="140"/>
      <c r="O228" s="140"/>
      <c r="P228" s="87">
        <v>145388.34</v>
      </c>
      <c r="Q228" s="65"/>
      <c r="R228" s="70"/>
      <c r="S228" s="50"/>
    </row>
    <row r="229" spans="1:19" s="2" customFormat="1" ht="28.5" customHeight="1" x14ac:dyDescent="0.25">
      <c r="A229" s="20"/>
      <c r="B229" s="129"/>
      <c r="C229" s="131" t="s">
        <v>41</v>
      </c>
      <c r="D229" s="99" t="s">
        <v>76</v>
      </c>
      <c r="E229" s="147">
        <v>296.06</v>
      </c>
      <c r="F229" s="153">
        <v>3.45</v>
      </c>
      <c r="G229" s="94">
        <f>E229*F229</f>
        <v>1021.407</v>
      </c>
      <c r="H229" s="94">
        <v>13322.7</v>
      </c>
      <c r="I229" s="94"/>
      <c r="J229" s="94"/>
      <c r="K229" s="94"/>
      <c r="L229" s="135"/>
      <c r="M229" s="135"/>
      <c r="N229" s="135"/>
      <c r="O229" s="135"/>
      <c r="P229" s="94">
        <v>0</v>
      </c>
      <c r="Q229" s="61"/>
      <c r="R229" s="71"/>
      <c r="S229" s="47"/>
    </row>
    <row r="230" spans="1:19" s="2" customFormat="1" ht="30.75" customHeight="1" x14ac:dyDescent="0.25">
      <c r="A230" s="20"/>
      <c r="B230" s="129"/>
      <c r="C230" s="131" t="s">
        <v>66</v>
      </c>
      <c r="D230" s="99" t="s">
        <v>76</v>
      </c>
      <c r="E230" s="147">
        <v>77.8</v>
      </c>
      <c r="F230" s="153">
        <v>3.45</v>
      </c>
      <c r="G230" s="94">
        <f>E230*F230</f>
        <v>268.41000000000003</v>
      </c>
      <c r="H230" s="94">
        <f>E230*45</f>
        <v>3501</v>
      </c>
      <c r="I230" s="94"/>
      <c r="J230" s="94"/>
      <c r="K230" s="94"/>
      <c r="L230" s="135"/>
      <c r="M230" s="135"/>
      <c r="N230" s="135"/>
      <c r="O230" s="135"/>
      <c r="P230" s="94"/>
      <c r="Q230" s="61"/>
      <c r="R230" s="71"/>
      <c r="S230" s="47"/>
    </row>
    <row r="231" spans="1:19" s="2" customFormat="1" ht="41.25" customHeight="1" x14ac:dyDescent="0.25">
      <c r="A231" s="20"/>
      <c r="B231" s="129"/>
      <c r="C231" s="131" t="s">
        <v>43</v>
      </c>
      <c r="D231" s="99"/>
      <c r="E231" s="147">
        <v>19.600000000000001</v>
      </c>
      <c r="F231" s="153">
        <v>0</v>
      </c>
      <c r="G231" s="153">
        <v>0</v>
      </c>
      <c r="H231" s="153">
        <v>0</v>
      </c>
      <c r="I231" s="153"/>
      <c r="J231" s="153"/>
      <c r="K231" s="153"/>
      <c r="L231" s="135"/>
      <c r="M231" s="135"/>
      <c r="N231" s="135"/>
      <c r="O231" s="135"/>
      <c r="P231" s="94"/>
      <c r="Q231" s="61"/>
      <c r="R231" s="71"/>
      <c r="S231" s="47"/>
    </row>
    <row r="232" spans="1:19" s="2" customFormat="1" ht="41.25" customHeight="1" x14ac:dyDescent="0.25">
      <c r="A232" s="18"/>
      <c r="B232" s="122"/>
      <c r="C232" s="132" t="s">
        <v>41</v>
      </c>
      <c r="D232" s="100" t="s">
        <v>77</v>
      </c>
      <c r="E232" s="144">
        <f>SUM(E228:E231)</f>
        <v>19004.04</v>
      </c>
      <c r="F232" s="144"/>
      <c r="G232" s="87">
        <f t="shared" ref="G232:H232" si="57">SUM(G228:G231)</f>
        <v>61035.048300000017</v>
      </c>
      <c r="H232" s="87">
        <f t="shared" si="57"/>
        <v>413992.26999999996</v>
      </c>
      <c r="I232" s="87"/>
      <c r="J232" s="87"/>
      <c r="K232" s="87"/>
      <c r="L232" s="140"/>
      <c r="M232" s="140"/>
      <c r="N232" s="140"/>
      <c r="O232" s="140"/>
      <c r="P232" s="87">
        <v>145388.34</v>
      </c>
      <c r="Q232" s="65"/>
      <c r="R232" s="70"/>
      <c r="S232" s="50"/>
    </row>
    <row r="233" spans="1:19" s="2" customFormat="1" ht="27" customHeight="1" x14ac:dyDescent="0.25">
      <c r="A233" s="20"/>
      <c r="B233" s="129"/>
      <c r="C233" s="131" t="s">
        <v>41</v>
      </c>
      <c r="D233" s="99" t="s">
        <v>78</v>
      </c>
      <c r="E233" s="147">
        <v>186.76</v>
      </c>
      <c r="F233" s="153">
        <v>3.45</v>
      </c>
      <c r="G233" s="94">
        <f>E233*F233</f>
        <v>644.322</v>
      </c>
      <c r="H233" s="94">
        <f>E233*45</f>
        <v>8404.1999999999989</v>
      </c>
      <c r="I233" s="94"/>
      <c r="J233" s="94"/>
      <c r="K233" s="94"/>
      <c r="L233" s="135"/>
      <c r="M233" s="135"/>
      <c r="N233" s="135"/>
      <c r="O233" s="135"/>
      <c r="P233" s="94">
        <v>61410.38</v>
      </c>
      <c r="Q233" s="61"/>
      <c r="R233" s="71"/>
      <c r="S233" s="47"/>
    </row>
    <row r="234" spans="1:19" s="2" customFormat="1" ht="27.75" customHeight="1" x14ac:dyDescent="0.25">
      <c r="A234" s="20"/>
      <c r="B234" s="129"/>
      <c r="C234" s="131" t="s">
        <v>66</v>
      </c>
      <c r="D234" s="99" t="s">
        <v>78</v>
      </c>
      <c r="E234" s="147">
        <v>29.45</v>
      </c>
      <c r="F234" s="153">
        <v>3.45</v>
      </c>
      <c r="G234" s="94">
        <f>E234*F234</f>
        <v>101.60250000000001</v>
      </c>
      <c r="H234" s="94">
        <f>E234*45</f>
        <v>1325.25</v>
      </c>
      <c r="I234" s="94"/>
      <c r="J234" s="94"/>
      <c r="K234" s="94"/>
      <c r="L234" s="135"/>
      <c r="M234" s="135"/>
      <c r="N234" s="135"/>
      <c r="O234" s="135"/>
      <c r="P234" s="94"/>
      <c r="Q234" s="61"/>
      <c r="R234" s="71"/>
      <c r="S234" s="47"/>
    </row>
    <row r="235" spans="1:19" s="2" customFormat="1" ht="41.25" customHeight="1" x14ac:dyDescent="0.25">
      <c r="A235" s="18"/>
      <c r="B235" s="122"/>
      <c r="C235" s="132" t="s">
        <v>41</v>
      </c>
      <c r="D235" s="100" t="s">
        <v>79</v>
      </c>
      <c r="E235" s="144">
        <f>SUM(E232:E234)</f>
        <v>19220.25</v>
      </c>
      <c r="F235" s="144"/>
      <c r="G235" s="87">
        <f t="shared" ref="G235:H235" si="58">SUM(G232:G234)</f>
        <v>61780.972800000018</v>
      </c>
      <c r="H235" s="87">
        <f t="shared" si="58"/>
        <v>423721.72</v>
      </c>
      <c r="I235" s="87"/>
      <c r="J235" s="87"/>
      <c r="K235" s="87"/>
      <c r="L235" s="140"/>
      <c r="M235" s="140"/>
      <c r="N235" s="140"/>
      <c r="O235" s="140"/>
      <c r="P235" s="87">
        <f>P232+P233</f>
        <v>206798.72</v>
      </c>
      <c r="Q235" s="65"/>
      <c r="R235" s="70"/>
      <c r="S235" s="50"/>
    </row>
    <row r="236" spans="1:19" s="2" customFormat="1" ht="26.25" customHeight="1" x14ac:dyDescent="0.25">
      <c r="A236" s="20"/>
      <c r="B236" s="129"/>
      <c r="C236" s="131" t="s">
        <v>41</v>
      </c>
      <c r="D236" s="99" t="s">
        <v>82</v>
      </c>
      <c r="E236" s="147">
        <v>125.14</v>
      </c>
      <c r="F236" s="153">
        <v>3.45</v>
      </c>
      <c r="G236" s="94">
        <f>E236*F236</f>
        <v>431.733</v>
      </c>
      <c r="H236" s="94">
        <f>E236*57</f>
        <v>7132.9800000000005</v>
      </c>
      <c r="I236" s="94"/>
      <c r="J236" s="94"/>
      <c r="K236" s="94"/>
      <c r="L236" s="135"/>
      <c r="M236" s="135"/>
      <c r="N236" s="135"/>
      <c r="O236" s="135"/>
      <c r="P236" s="94">
        <v>122731.52</v>
      </c>
      <c r="Q236" s="61"/>
      <c r="R236" s="71"/>
      <c r="S236" s="47"/>
    </row>
    <row r="237" spans="1:19" s="2" customFormat="1" ht="28.5" customHeight="1" x14ac:dyDescent="0.25">
      <c r="A237" s="20"/>
      <c r="B237" s="129"/>
      <c r="C237" s="131" t="s">
        <v>66</v>
      </c>
      <c r="D237" s="99" t="s">
        <v>82</v>
      </c>
      <c r="E237" s="147">
        <v>44.98</v>
      </c>
      <c r="F237" s="153">
        <v>3.45</v>
      </c>
      <c r="G237" s="94">
        <f>E237*F237</f>
        <v>155.18099999999998</v>
      </c>
      <c r="H237" s="94">
        <f>E237*57</f>
        <v>2563.8599999999997</v>
      </c>
      <c r="I237" s="94"/>
      <c r="J237" s="94"/>
      <c r="K237" s="94"/>
      <c r="L237" s="135"/>
      <c r="M237" s="135"/>
      <c r="N237" s="135"/>
      <c r="O237" s="135"/>
      <c r="P237" s="94"/>
      <c r="Q237" s="61"/>
      <c r="R237" s="71"/>
      <c r="S237" s="47"/>
    </row>
    <row r="238" spans="1:19" s="2" customFormat="1" ht="41.25" customHeight="1" x14ac:dyDescent="0.25">
      <c r="A238" s="18"/>
      <c r="B238" s="122"/>
      <c r="C238" s="132" t="s">
        <v>41</v>
      </c>
      <c r="D238" s="100" t="s">
        <v>81</v>
      </c>
      <c r="E238" s="144">
        <f>SUM(E235:E237)</f>
        <v>19390.37</v>
      </c>
      <c r="F238" s="144"/>
      <c r="G238" s="87">
        <f t="shared" ref="G238:P238" si="59">SUM(G235:G237)</f>
        <v>62367.886800000015</v>
      </c>
      <c r="H238" s="87">
        <f t="shared" si="59"/>
        <v>433418.55999999994</v>
      </c>
      <c r="I238" s="87"/>
      <c r="J238" s="87"/>
      <c r="K238" s="87"/>
      <c r="L238" s="87"/>
      <c r="M238" s="87"/>
      <c r="N238" s="87"/>
      <c r="O238" s="87"/>
      <c r="P238" s="87">
        <f t="shared" si="59"/>
        <v>329530.23999999999</v>
      </c>
      <c r="Q238" s="65"/>
      <c r="R238" s="70"/>
      <c r="S238" s="50"/>
    </row>
    <row r="239" spans="1:19" s="2" customFormat="1" ht="30" customHeight="1" x14ac:dyDescent="0.25">
      <c r="A239" s="20"/>
      <c r="B239" s="129"/>
      <c r="C239" s="131" t="s">
        <v>41</v>
      </c>
      <c r="D239" s="99" t="s">
        <v>84</v>
      </c>
      <c r="E239" s="147">
        <v>264.14</v>
      </c>
      <c r="F239" s="153">
        <v>3.45</v>
      </c>
      <c r="G239" s="94">
        <f>E239*F239</f>
        <v>911.28300000000002</v>
      </c>
      <c r="H239" s="94">
        <f>E239*57</f>
        <v>15055.98</v>
      </c>
      <c r="I239" s="94"/>
      <c r="J239" s="94"/>
      <c r="K239" s="94"/>
      <c r="L239" s="94"/>
      <c r="M239" s="94"/>
      <c r="N239" s="94"/>
      <c r="O239" s="94"/>
      <c r="P239" s="94">
        <v>0</v>
      </c>
      <c r="Q239" s="61"/>
      <c r="R239" s="71"/>
      <c r="S239" s="47"/>
    </row>
    <row r="240" spans="1:19" s="2" customFormat="1" ht="30.75" customHeight="1" x14ac:dyDescent="0.25">
      <c r="A240" s="20"/>
      <c r="B240" s="129"/>
      <c r="C240" s="131" t="s">
        <v>66</v>
      </c>
      <c r="D240" s="99" t="s">
        <v>84</v>
      </c>
      <c r="E240" s="147">
        <v>155.41999999999999</v>
      </c>
      <c r="F240" s="153">
        <v>3.45</v>
      </c>
      <c r="G240" s="94">
        <f>E240*F239</f>
        <v>536.19899999999996</v>
      </c>
      <c r="H240" s="94">
        <f>E240*57</f>
        <v>8858.9399999999987</v>
      </c>
      <c r="I240" s="94"/>
      <c r="J240" s="94"/>
      <c r="K240" s="94"/>
      <c r="L240" s="94"/>
      <c r="M240" s="94"/>
      <c r="N240" s="94"/>
      <c r="O240" s="94"/>
      <c r="P240" s="94"/>
      <c r="Q240" s="61"/>
      <c r="R240" s="71"/>
      <c r="S240" s="47"/>
    </row>
    <row r="241" spans="1:19" s="2" customFormat="1" ht="41.25" customHeight="1" x14ac:dyDescent="0.25">
      <c r="A241" s="18"/>
      <c r="B241" s="122"/>
      <c r="C241" s="132" t="s">
        <v>41</v>
      </c>
      <c r="D241" s="100" t="s">
        <v>86</v>
      </c>
      <c r="E241" s="144">
        <f>SUM(E238:E240)</f>
        <v>19809.929999999997</v>
      </c>
      <c r="F241" s="144"/>
      <c r="G241" s="87">
        <f t="shared" ref="G241:P241" si="60">SUM(G238:G240)</f>
        <v>63815.368800000018</v>
      </c>
      <c r="H241" s="87">
        <f t="shared" si="60"/>
        <v>457333.47999999992</v>
      </c>
      <c r="I241" s="87"/>
      <c r="J241" s="87"/>
      <c r="K241" s="87"/>
      <c r="L241" s="87"/>
      <c r="M241" s="87"/>
      <c r="N241" s="87"/>
      <c r="O241" s="87"/>
      <c r="P241" s="87">
        <f t="shared" si="60"/>
        <v>329530.23999999999</v>
      </c>
      <c r="Q241" s="144"/>
      <c r="R241" s="144"/>
      <c r="S241" s="50"/>
    </row>
    <row r="242" spans="1:19" s="2" customFormat="1" ht="28.5" customHeight="1" x14ac:dyDescent="0.25">
      <c r="A242" s="20"/>
      <c r="B242" s="129"/>
      <c r="C242" s="131" t="s">
        <v>41</v>
      </c>
      <c r="D242" s="99" t="s">
        <v>89</v>
      </c>
      <c r="E242" s="147">
        <v>368.64</v>
      </c>
      <c r="F242" s="153">
        <v>3.45</v>
      </c>
      <c r="G242" s="94">
        <f>E242*F242</f>
        <v>1271.808</v>
      </c>
      <c r="H242" s="94">
        <f>E242*57</f>
        <v>21012.48</v>
      </c>
      <c r="I242" s="94"/>
      <c r="J242" s="94"/>
      <c r="K242" s="94"/>
      <c r="L242" s="94"/>
      <c r="M242" s="94"/>
      <c r="N242" s="94"/>
      <c r="O242" s="94"/>
      <c r="P242" s="94">
        <v>0</v>
      </c>
      <c r="Q242" s="147"/>
      <c r="R242" s="214"/>
      <c r="S242" s="47"/>
    </row>
    <row r="243" spans="1:19" s="2" customFormat="1" ht="41.25" customHeight="1" x14ac:dyDescent="0.25">
      <c r="A243" s="20"/>
      <c r="B243" s="129"/>
      <c r="C243" s="131" t="s">
        <v>43</v>
      </c>
      <c r="D243" s="99"/>
      <c r="E243" s="147">
        <v>12.22</v>
      </c>
      <c r="F243" s="147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47"/>
      <c r="R243" s="214"/>
      <c r="S243" s="47"/>
    </row>
    <row r="244" spans="1:19" s="2" customFormat="1" ht="27" customHeight="1" x14ac:dyDescent="0.25">
      <c r="A244" s="20"/>
      <c r="B244" s="129"/>
      <c r="C244" s="131" t="s">
        <v>66</v>
      </c>
      <c r="D244" s="99" t="s">
        <v>89</v>
      </c>
      <c r="E244" s="147">
        <v>76.88</v>
      </c>
      <c r="F244" s="153">
        <v>3.45</v>
      </c>
      <c r="G244" s="94">
        <f>E244*F244</f>
        <v>265.23599999999999</v>
      </c>
      <c r="H244" s="94">
        <f>E244*57</f>
        <v>4382.16</v>
      </c>
      <c r="I244" s="94"/>
      <c r="J244" s="94"/>
      <c r="K244" s="94"/>
      <c r="L244" s="94"/>
      <c r="M244" s="94"/>
      <c r="N244" s="94"/>
      <c r="O244" s="94"/>
      <c r="P244" s="94"/>
      <c r="Q244" s="147"/>
      <c r="R244" s="214"/>
      <c r="S244" s="47"/>
    </row>
    <row r="245" spans="1:19" s="2" customFormat="1" ht="41.25" customHeight="1" x14ac:dyDescent="0.25">
      <c r="A245" s="18"/>
      <c r="B245" s="122"/>
      <c r="C245" s="132" t="s">
        <v>41</v>
      </c>
      <c r="D245" s="100" t="s">
        <v>90</v>
      </c>
      <c r="E245" s="144">
        <f>SUM(E241:E244)</f>
        <v>20267.669999999998</v>
      </c>
      <c r="F245" s="144"/>
      <c r="G245" s="87">
        <f t="shared" ref="G245:P245" si="61">SUM(G241:G244)</f>
        <v>65352.412800000013</v>
      </c>
      <c r="H245" s="87">
        <f t="shared" si="61"/>
        <v>482728.11999999988</v>
      </c>
      <c r="I245" s="87"/>
      <c r="J245" s="87"/>
      <c r="K245" s="87"/>
      <c r="L245" s="87"/>
      <c r="M245" s="87"/>
      <c r="N245" s="87"/>
      <c r="O245" s="87"/>
      <c r="P245" s="87">
        <f t="shared" si="61"/>
        <v>329530.23999999999</v>
      </c>
      <c r="Q245" s="144"/>
      <c r="R245" s="213"/>
      <c r="S245" s="50"/>
    </row>
    <row r="246" spans="1:19" s="2" customFormat="1" ht="30" customHeight="1" x14ac:dyDescent="0.25">
      <c r="A246" s="20"/>
      <c r="B246" s="129"/>
      <c r="C246" s="131" t="s">
        <v>41</v>
      </c>
      <c r="D246" s="99" t="s">
        <v>93</v>
      </c>
      <c r="E246" s="147">
        <v>378.66</v>
      </c>
      <c r="F246" s="153">
        <v>3.45</v>
      </c>
      <c r="G246" s="94">
        <f>SUM(E246*F246)</f>
        <v>1306.3770000000002</v>
      </c>
      <c r="H246" s="94">
        <f>E246*57</f>
        <v>21583.620000000003</v>
      </c>
      <c r="I246" s="94"/>
      <c r="J246" s="94"/>
      <c r="K246" s="94"/>
      <c r="L246" s="94"/>
      <c r="M246" s="94"/>
      <c r="N246" s="94"/>
      <c r="O246" s="94"/>
      <c r="P246" s="94">
        <v>50442</v>
      </c>
      <c r="Q246" s="147"/>
      <c r="R246" s="214"/>
      <c r="S246" s="47"/>
    </row>
    <row r="247" spans="1:19" s="2" customFormat="1" ht="30" customHeight="1" x14ac:dyDescent="0.25">
      <c r="A247" s="20"/>
      <c r="B247" s="129"/>
      <c r="C247" s="131" t="s">
        <v>66</v>
      </c>
      <c r="D247" s="99" t="s">
        <v>93</v>
      </c>
      <c r="E247" s="147">
        <v>44</v>
      </c>
      <c r="F247" s="153">
        <v>3.45</v>
      </c>
      <c r="G247" s="94">
        <f>SUM(E247*F247)</f>
        <v>151.80000000000001</v>
      </c>
      <c r="H247" s="94">
        <f>E247*57</f>
        <v>2508</v>
      </c>
      <c r="I247" s="94"/>
      <c r="J247" s="94"/>
      <c r="K247" s="94"/>
      <c r="L247" s="94"/>
      <c r="M247" s="94"/>
      <c r="N247" s="94"/>
      <c r="O247" s="94"/>
      <c r="P247" s="94"/>
      <c r="Q247" s="147"/>
      <c r="R247" s="214"/>
      <c r="S247" s="47"/>
    </row>
    <row r="248" spans="1:19" s="2" customFormat="1" ht="41.25" customHeight="1" x14ac:dyDescent="0.25">
      <c r="A248" s="18"/>
      <c r="B248" s="122"/>
      <c r="C248" s="132" t="s">
        <v>41</v>
      </c>
      <c r="D248" s="100" t="s">
        <v>94</v>
      </c>
      <c r="E248" s="144">
        <f>SUM(E245:E247)</f>
        <v>20690.329999999998</v>
      </c>
      <c r="F248" s="144"/>
      <c r="G248" s="87">
        <f t="shared" ref="G248:H248" si="62">SUM(G245:G247)</f>
        <v>66810.589800000016</v>
      </c>
      <c r="H248" s="87">
        <f t="shared" si="62"/>
        <v>506819.73999999987</v>
      </c>
      <c r="I248" s="87"/>
      <c r="J248" s="87"/>
      <c r="K248" s="87"/>
      <c r="L248" s="87"/>
      <c r="M248" s="87"/>
      <c r="N248" s="87"/>
      <c r="O248" s="87"/>
      <c r="P248" s="87">
        <f>SUM(P245:P247)</f>
        <v>379972.24</v>
      </c>
      <c r="Q248" s="144"/>
      <c r="R248" s="213"/>
      <c r="S248" s="50"/>
    </row>
    <row r="249" spans="1:19" s="2" customFormat="1" ht="87.75" customHeight="1" x14ac:dyDescent="0.25">
      <c r="A249" s="20"/>
      <c r="B249" s="129"/>
      <c r="C249" s="131" t="s">
        <v>41</v>
      </c>
      <c r="D249" s="99" t="s">
        <v>96</v>
      </c>
      <c r="E249" s="147">
        <v>379.2</v>
      </c>
      <c r="F249" s="153">
        <v>5.6</v>
      </c>
      <c r="G249" s="94">
        <f>E249*F249</f>
        <v>2123.52</v>
      </c>
      <c r="H249" s="94">
        <v>34921.08</v>
      </c>
      <c r="I249" s="94"/>
      <c r="J249" s="94"/>
      <c r="K249" s="94"/>
      <c r="L249" s="94"/>
      <c r="M249" s="94"/>
      <c r="N249" s="94"/>
      <c r="O249" s="94"/>
      <c r="P249" s="220" t="s">
        <v>109</v>
      </c>
      <c r="Q249" s="147"/>
      <c r="R249" s="214"/>
      <c r="S249" s="258" t="s">
        <v>104</v>
      </c>
    </row>
    <row r="250" spans="1:19" s="2" customFormat="1" ht="48" customHeight="1" x14ac:dyDescent="0.25">
      <c r="A250" s="20"/>
      <c r="B250" s="129"/>
      <c r="C250" s="131" t="s">
        <v>66</v>
      </c>
      <c r="D250" s="99" t="s">
        <v>96</v>
      </c>
      <c r="E250" s="147">
        <v>93.5</v>
      </c>
      <c r="F250" s="153">
        <v>5.6</v>
      </c>
      <c r="G250" s="94">
        <f>E250*F250</f>
        <v>523.6</v>
      </c>
      <c r="H250" s="94">
        <v>8365.1</v>
      </c>
      <c r="I250" s="94"/>
      <c r="J250" s="94"/>
      <c r="K250" s="94"/>
      <c r="L250" s="94"/>
      <c r="M250" s="94"/>
      <c r="N250" s="94"/>
      <c r="O250" s="94"/>
      <c r="P250" s="94"/>
      <c r="Q250" s="147"/>
      <c r="R250" s="214"/>
      <c r="S250" s="259"/>
    </row>
    <row r="251" spans="1:19" s="2" customFormat="1" ht="41.25" customHeight="1" x14ac:dyDescent="0.25">
      <c r="A251" s="18"/>
      <c r="B251" s="122"/>
      <c r="C251" s="132" t="s">
        <v>41</v>
      </c>
      <c r="D251" s="100" t="s">
        <v>97</v>
      </c>
      <c r="E251" s="144">
        <f>SUM(E248:E250)</f>
        <v>21163.03</v>
      </c>
      <c r="F251" s="144"/>
      <c r="G251" s="87">
        <f>SUM(G248:G250)</f>
        <v>69457.709800000026</v>
      </c>
      <c r="H251" s="87">
        <f t="shared" ref="H251" si="63">SUM(H248:H250)</f>
        <v>550105.91999999981</v>
      </c>
      <c r="I251" s="87"/>
      <c r="J251" s="87"/>
      <c r="K251" s="87"/>
      <c r="L251" s="87"/>
      <c r="M251" s="87"/>
      <c r="N251" s="87"/>
      <c r="O251" s="87"/>
      <c r="P251" s="221" t="s">
        <v>110</v>
      </c>
      <c r="Q251" s="144"/>
      <c r="R251" s="213"/>
      <c r="S251" s="50"/>
    </row>
    <row r="252" spans="1:19" s="2" customFormat="1" ht="48.75" customHeight="1" x14ac:dyDescent="0.25">
      <c r="A252" s="20"/>
      <c r="B252" s="129"/>
      <c r="C252" s="131" t="s">
        <v>41</v>
      </c>
      <c r="D252" s="99" t="s">
        <v>119</v>
      </c>
      <c r="E252" s="147">
        <v>403.61</v>
      </c>
      <c r="F252" s="153">
        <v>5.6</v>
      </c>
      <c r="G252" s="94">
        <f>E252*F252</f>
        <v>2260.2159999999999</v>
      </c>
      <c r="H252" s="94">
        <f>E252*69</f>
        <v>27849.09</v>
      </c>
      <c r="I252" s="94"/>
      <c r="J252" s="94"/>
      <c r="K252" s="94"/>
      <c r="L252" s="94"/>
      <c r="M252" s="94"/>
      <c r="N252" s="94"/>
      <c r="O252" s="94"/>
      <c r="P252" s="220" t="s">
        <v>121</v>
      </c>
      <c r="Q252" s="147"/>
      <c r="R252" s="214"/>
      <c r="S252" s="47"/>
    </row>
    <row r="253" spans="1:19" s="2" customFormat="1" ht="30" customHeight="1" x14ac:dyDescent="0.25">
      <c r="A253" s="20"/>
      <c r="B253" s="129"/>
      <c r="C253" s="131" t="s">
        <v>66</v>
      </c>
      <c r="D253" s="99" t="s">
        <v>119</v>
      </c>
      <c r="E253" s="147">
        <v>67.56</v>
      </c>
      <c r="F253" s="153">
        <v>5.6</v>
      </c>
      <c r="G253" s="94">
        <f>E253*F253</f>
        <v>378.33600000000001</v>
      </c>
      <c r="H253" s="94">
        <f>E253*69</f>
        <v>4661.6400000000003</v>
      </c>
      <c r="I253" s="94"/>
      <c r="J253" s="94"/>
      <c r="K253" s="94"/>
      <c r="L253" s="94"/>
      <c r="M253" s="94"/>
      <c r="N253" s="94"/>
      <c r="O253" s="94"/>
      <c r="P253" s="220"/>
      <c r="Q253" s="147"/>
      <c r="R253" s="214"/>
      <c r="S253" s="47"/>
    </row>
    <row r="254" spans="1:19" s="2" customFormat="1" ht="41.25" customHeight="1" x14ac:dyDescent="0.25">
      <c r="A254" s="18"/>
      <c r="B254" s="122"/>
      <c r="C254" s="132" t="s">
        <v>41</v>
      </c>
      <c r="D254" s="100" t="s">
        <v>120</v>
      </c>
      <c r="E254" s="144">
        <f>SUM(E251:E253)</f>
        <v>21634.2</v>
      </c>
      <c r="F254" s="144"/>
      <c r="G254" s="87">
        <f t="shared" ref="G254:H254" si="64">SUM(G251:G253)</f>
        <v>72096.261800000022</v>
      </c>
      <c r="H254" s="87">
        <f t="shared" si="64"/>
        <v>582616.64999999979</v>
      </c>
      <c r="I254" s="87"/>
      <c r="J254" s="87"/>
      <c r="K254" s="87"/>
      <c r="L254" s="87"/>
      <c r="M254" s="87"/>
      <c r="N254" s="87"/>
      <c r="O254" s="87"/>
      <c r="P254" s="221" t="s">
        <v>132</v>
      </c>
      <c r="Q254" s="144"/>
      <c r="R254" s="213"/>
      <c r="S254" s="50"/>
    </row>
    <row r="255" spans="1:19" s="2" customFormat="1" ht="27" customHeight="1" x14ac:dyDescent="0.25">
      <c r="A255" s="20"/>
      <c r="B255" s="129"/>
      <c r="C255" s="131" t="s">
        <v>41</v>
      </c>
      <c r="D255" s="99" t="s">
        <v>139</v>
      </c>
      <c r="E255" s="147">
        <v>401.22</v>
      </c>
      <c r="F255" s="153">
        <v>5.6</v>
      </c>
      <c r="G255" s="94">
        <f>SUM(E255*F255)</f>
        <v>2246.8319999999999</v>
      </c>
      <c r="H255" s="94">
        <f>SUM(E255*69)</f>
        <v>27684.18</v>
      </c>
      <c r="I255" s="94"/>
      <c r="J255" s="94"/>
      <c r="K255" s="94"/>
      <c r="L255" s="94"/>
      <c r="M255" s="94"/>
      <c r="N255" s="94"/>
      <c r="O255" s="94"/>
      <c r="P255" s="220">
        <v>0</v>
      </c>
      <c r="Q255" s="147"/>
      <c r="R255" s="214"/>
      <c r="S255" s="47"/>
    </row>
    <row r="256" spans="1:19" s="2" customFormat="1" ht="27" customHeight="1" x14ac:dyDescent="0.25">
      <c r="A256" s="20"/>
      <c r="B256" s="129"/>
      <c r="C256" s="131" t="s">
        <v>66</v>
      </c>
      <c r="D256" s="99" t="s">
        <v>139</v>
      </c>
      <c r="E256" s="147">
        <v>62.16</v>
      </c>
      <c r="F256" s="153">
        <v>5.6</v>
      </c>
      <c r="G256" s="94">
        <f>SUM(E256*F256)</f>
        <v>348.09599999999995</v>
      </c>
      <c r="H256" s="94">
        <f>SUM(E256*69)</f>
        <v>4289.04</v>
      </c>
      <c r="I256" s="94"/>
      <c r="J256" s="94"/>
      <c r="K256" s="94"/>
      <c r="L256" s="94"/>
      <c r="M256" s="94"/>
      <c r="N256" s="94"/>
      <c r="O256" s="94"/>
      <c r="P256" s="220"/>
      <c r="Q256" s="147"/>
      <c r="R256" s="214"/>
      <c r="S256" s="47"/>
    </row>
    <row r="257" spans="1:19" s="2" customFormat="1" ht="41.25" customHeight="1" x14ac:dyDescent="0.25">
      <c r="A257" s="18"/>
      <c r="B257" s="122"/>
      <c r="C257" s="132" t="s">
        <v>41</v>
      </c>
      <c r="D257" s="100" t="s">
        <v>140</v>
      </c>
      <c r="E257" s="144">
        <f>SUM(E254:E256)</f>
        <v>22097.58</v>
      </c>
      <c r="F257" s="144"/>
      <c r="G257" s="87">
        <f t="shared" ref="G257:H257" si="65">SUM(G254:G256)</f>
        <v>74691.189800000022</v>
      </c>
      <c r="H257" s="87">
        <f t="shared" si="65"/>
        <v>614589.86999999988</v>
      </c>
      <c r="I257" s="87"/>
      <c r="J257" s="87"/>
      <c r="K257" s="87"/>
      <c r="L257" s="87"/>
      <c r="M257" s="87"/>
      <c r="N257" s="87"/>
      <c r="O257" s="87"/>
      <c r="P257" s="221" t="s">
        <v>132</v>
      </c>
      <c r="Q257" s="144"/>
      <c r="R257" s="213"/>
      <c r="S257" s="50"/>
    </row>
    <row r="258" spans="1:19" s="2" customFormat="1" ht="28.5" customHeight="1" x14ac:dyDescent="0.25">
      <c r="A258" s="20"/>
      <c r="B258" s="129"/>
      <c r="C258" s="131" t="s">
        <v>41</v>
      </c>
      <c r="D258" s="99" t="s">
        <v>144</v>
      </c>
      <c r="E258" s="147">
        <v>377.82</v>
      </c>
      <c r="F258" s="153">
        <v>5.6</v>
      </c>
      <c r="G258" s="94">
        <v>2115.7919999999999</v>
      </c>
      <c r="H258" s="94">
        <v>26069.579999999998</v>
      </c>
      <c r="I258" s="94"/>
      <c r="J258" s="94"/>
      <c r="K258" s="94"/>
      <c r="L258" s="94"/>
      <c r="M258" s="94"/>
      <c r="N258" s="94"/>
      <c r="O258" s="94"/>
      <c r="P258" s="220" t="s">
        <v>146</v>
      </c>
      <c r="Q258" s="147"/>
      <c r="R258" s="214"/>
      <c r="S258" s="47"/>
    </row>
    <row r="259" spans="1:19" s="2" customFormat="1" ht="26.25" customHeight="1" x14ac:dyDescent="0.25">
      <c r="A259" s="20"/>
      <c r="B259" s="129"/>
      <c r="C259" s="131" t="s">
        <v>66</v>
      </c>
      <c r="D259" s="99" t="s">
        <v>144</v>
      </c>
      <c r="E259" s="147">
        <v>85.65</v>
      </c>
      <c r="F259" s="153">
        <v>5.6</v>
      </c>
      <c r="G259" s="94">
        <v>479.64</v>
      </c>
      <c r="H259" s="94">
        <v>5909.85</v>
      </c>
      <c r="I259" s="94"/>
      <c r="J259" s="94"/>
      <c r="K259" s="94"/>
      <c r="L259" s="94"/>
      <c r="M259" s="94"/>
      <c r="N259" s="94"/>
      <c r="O259" s="94"/>
      <c r="P259" s="220"/>
      <c r="Q259" s="147"/>
      <c r="R259" s="214"/>
      <c r="S259" s="47"/>
    </row>
    <row r="260" spans="1:19" s="2" customFormat="1" ht="41.25" customHeight="1" x14ac:dyDescent="0.25">
      <c r="A260" s="18"/>
      <c r="B260" s="122"/>
      <c r="C260" s="132" t="s">
        <v>41</v>
      </c>
      <c r="D260" s="100" t="s">
        <v>145</v>
      </c>
      <c r="E260" s="144">
        <f>SUM(E257:E259)</f>
        <v>22561.050000000003</v>
      </c>
      <c r="F260" s="144"/>
      <c r="G260" s="87">
        <f t="shared" ref="G260:H260" si="66">SUM(G257:G259)</f>
        <v>77286.621800000023</v>
      </c>
      <c r="H260" s="87">
        <f t="shared" si="66"/>
        <v>646569.29999999981</v>
      </c>
      <c r="I260" s="87"/>
      <c r="J260" s="87"/>
      <c r="K260" s="87"/>
      <c r="L260" s="87"/>
      <c r="M260" s="87"/>
      <c r="N260" s="87"/>
      <c r="O260" s="87"/>
      <c r="P260" s="221" t="s">
        <v>147</v>
      </c>
      <c r="Q260" s="144"/>
      <c r="R260" s="213"/>
      <c r="S260" s="50"/>
    </row>
    <row r="261" spans="1:19" s="2" customFormat="1" ht="41.25" customHeight="1" x14ac:dyDescent="0.25">
      <c r="A261" s="20"/>
      <c r="B261" s="129"/>
      <c r="C261" s="131" t="s">
        <v>173</v>
      </c>
      <c r="D261" s="99" t="s">
        <v>165</v>
      </c>
      <c r="E261" s="147">
        <v>485.6</v>
      </c>
      <c r="F261" s="153">
        <v>5.6</v>
      </c>
      <c r="G261" s="94">
        <f>E261*F261</f>
        <v>2719.36</v>
      </c>
      <c r="H261" s="94">
        <f>E261*82</f>
        <v>39819.200000000004</v>
      </c>
      <c r="I261" s="94"/>
      <c r="J261" s="94"/>
      <c r="K261" s="94"/>
      <c r="L261" s="94"/>
      <c r="M261" s="94"/>
      <c r="N261" s="94"/>
      <c r="O261" s="94"/>
      <c r="P261" s="220" t="s">
        <v>174</v>
      </c>
      <c r="Q261" s="147"/>
      <c r="R261" s="214"/>
      <c r="S261" s="47"/>
    </row>
    <row r="262" spans="1:19" s="2" customFormat="1" ht="41.25" customHeight="1" x14ac:dyDescent="0.25">
      <c r="A262" s="18"/>
      <c r="B262" s="122"/>
      <c r="C262" s="132" t="s">
        <v>41</v>
      </c>
      <c r="D262" s="100" t="s">
        <v>167</v>
      </c>
      <c r="E262" s="144">
        <f>SUM(E260:E261)</f>
        <v>23046.65</v>
      </c>
      <c r="F262" s="144"/>
      <c r="G262" s="87">
        <f t="shared" ref="G262:H262" si="67">SUM(G260:G261)</f>
        <v>80005.981800000023</v>
      </c>
      <c r="H262" s="87">
        <f t="shared" si="67"/>
        <v>686388.49999999977</v>
      </c>
      <c r="I262" s="87"/>
      <c r="J262" s="87"/>
      <c r="K262" s="87"/>
      <c r="L262" s="87"/>
      <c r="M262" s="87"/>
      <c r="N262" s="87"/>
      <c r="O262" s="87"/>
      <c r="P262" s="221" t="s">
        <v>175</v>
      </c>
      <c r="Q262" s="144"/>
      <c r="R262" s="213"/>
      <c r="S262" s="50"/>
    </row>
    <row r="263" spans="1:19" s="2" customFormat="1" ht="41.25" customHeight="1" x14ac:dyDescent="0.25">
      <c r="A263" s="20"/>
      <c r="B263" s="129"/>
      <c r="C263" s="131" t="s">
        <v>173</v>
      </c>
      <c r="D263" s="99" t="s">
        <v>166</v>
      </c>
      <c r="E263" s="147">
        <v>518.67999999999995</v>
      </c>
      <c r="F263" s="153">
        <v>5.6</v>
      </c>
      <c r="G263" s="94">
        <f>157.11*5.6</f>
        <v>879.81600000000003</v>
      </c>
      <c r="H263" s="94">
        <f>157.11*82</f>
        <v>12883.02</v>
      </c>
      <c r="I263" s="94">
        <f>361.57*5.6</f>
        <v>2024.7919999999999</v>
      </c>
      <c r="J263" s="94">
        <f>361.57*82</f>
        <v>29648.739999999998</v>
      </c>
      <c r="K263" s="94"/>
      <c r="L263" s="94"/>
      <c r="M263" s="94"/>
      <c r="N263" s="94"/>
      <c r="O263" s="94"/>
      <c r="P263" s="220">
        <v>0</v>
      </c>
      <c r="Q263" s="147"/>
      <c r="R263" s="214"/>
      <c r="S263" s="47"/>
    </row>
    <row r="264" spans="1:19" s="2" customFormat="1" ht="41.25" customHeight="1" x14ac:dyDescent="0.25">
      <c r="A264" s="18"/>
      <c r="B264" s="122"/>
      <c r="C264" s="132" t="s">
        <v>41</v>
      </c>
      <c r="D264" s="100" t="s">
        <v>168</v>
      </c>
      <c r="E264" s="144">
        <f>SUM(E262:E263)</f>
        <v>23565.33</v>
      </c>
      <c r="F264" s="144"/>
      <c r="G264" s="87">
        <f t="shared" ref="G264:J264" si="68">SUM(G262:G263)</f>
        <v>80885.797800000029</v>
      </c>
      <c r="H264" s="87">
        <f t="shared" si="68"/>
        <v>699271.51999999979</v>
      </c>
      <c r="I264" s="87">
        <f t="shared" si="68"/>
        <v>2024.7919999999999</v>
      </c>
      <c r="J264" s="87">
        <f t="shared" si="68"/>
        <v>29648.739999999998</v>
      </c>
      <c r="K264" s="87"/>
      <c r="L264" s="87"/>
      <c r="M264" s="87"/>
      <c r="N264" s="87"/>
      <c r="O264" s="87"/>
      <c r="P264" s="221" t="s">
        <v>175</v>
      </c>
      <c r="Q264" s="144"/>
      <c r="R264" s="213"/>
      <c r="S264" s="50"/>
    </row>
    <row r="265" spans="1:19" s="236" customFormat="1" ht="41.25" customHeight="1" x14ac:dyDescent="0.25">
      <c r="A265" s="230"/>
      <c r="B265" s="237"/>
      <c r="C265" s="131" t="s">
        <v>173</v>
      </c>
      <c r="D265" s="99" t="s">
        <v>195</v>
      </c>
      <c r="E265" s="243">
        <v>539.09</v>
      </c>
      <c r="F265" s="153">
        <v>5.6</v>
      </c>
      <c r="G265" s="94">
        <f>361.57*5.6</f>
        <v>2024.7919999999999</v>
      </c>
      <c r="H265" s="94">
        <f>361.57*82</f>
        <v>29648.739999999998</v>
      </c>
      <c r="I265" s="232">
        <f>E265*5.6</f>
        <v>3018.904</v>
      </c>
      <c r="J265" s="232">
        <f>E265*82</f>
        <v>44205.380000000005</v>
      </c>
      <c r="K265" s="232"/>
      <c r="L265" s="232"/>
      <c r="M265" s="232"/>
      <c r="N265" s="232"/>
      <c r="O265" s="232"/>
      <c r="P265" s="233" t="s">
        <v>198</v>
      </c>
      <c r="Q265" s="243"/>
      <c r="R265" s="244"/>
      <c r="S265" s="235"/>
    </row>
    <row r="266" spans="1:19" s="2" customFormat="1" ht="41.25" customHeight="1" x14ac:dyDescent="0.25">
      <c r="A266" s="18"/>
      <c r="B266" s="122"/>
      <c r="C266" s="132" t="s">
        <v>41</v>
      </c>
      <c r="D266" s="100" t="s">
        <v>196</v>
      </c>
      <c r="E266" s="144">
        <f>SUM(E264:E265)</f>
        <v>24104.420000000002</v>
      </c>
      <c r="F266" s="144"/>
      <c r="G266" s="87">
        <f>SUM(G264:G265)</f>
        <v>82910.589800000031</v>
      </c>
      <c r="H266" s="87">
        <f>SUM(H264:H265)</f>
        <v>728920.25999999978</v>
      </c>
      <c r="I266" s="87">
        <v>3018.9</v>
      </c>
      <c r="J266" s="87">
        <v>44205.38</v>
      </c>
      <c r="K266" s="87"/>
      <c r="L266" s="87"/>
      <c r="M266" s="87"/>
      <c r="N266" s="87"/>
      <c r="O266" s="87"/>
      <c r="P266" s="221" t="s">
        <v>197</v>
      </c>
      <c r="Q266" s="144"/>
      <c r="R266" s="213"/>
      <c r="S266" s="50"/>
    </row>
    <row r="267" spans="1:19" s="236" customFormat="1" ht="41.25" customHeight="1" x14ac:dyDescent="0.25">
      <c r="A267" s="230"/>
      <c r="B267" s="237"/>
      <c r="C267" s="131" t="s">
        <v>173</v>
      </c>
      <c r="D267" s="99" t="s">
        <v>201</v>
      </c>
      <c r="E267" s="243">
        <v>499.86</v>
      </c>
      <c r="F267" s="153">
        <v>5.6</v>
      </c>
      <c r="G267" s="232">
        <f>708.61*5.6</f>
        <v>3968.2159999999999</v>
      </c>
      <c r="H267" s="232">
        <f>708.61*82</f>
        <v>58106.020000000004</v>
      </c>
      <c r="I267" s="232">
        <f>330.34*5.6</f>
        <v>1849.9039999999998</v>
      </c>
      <c r="J267" s="232">
        <f>330.34*82</f>
        <v>27087.879999999997</v>
      </c>
      <c r="K267" s="232"/>
      <c r="L267" s="232"/>
      <c r="M267" s="232"/>
      <c r="N267" s="232"/>
      <c r="O267" s="232"/>
      <c r="P267" s="220">
        <v>0</v>
      </c>
      <c r="Q267" s="243"/>
      <c r="R267" s="244"/>
      <c r="S267" s="235"/>
    </row>
    <row r="268" spans="1:19" s="2" customFormat="1" ht="41.25" customHeight="1" x14ac:dyDescent="0.25">
      <c r="A268" s="18"/>
      <c r="B268" s="122"/>
      <c r="C268" s="132" t="s">
        <v>41</v>
      </c>
      <c r="D268" s="100" t="s">
        <v>202</v>
      </c>
      <c r="E268" s="144">
        <f>SUM(E266:E267)</f>
        <v>24604.280000000002</v>
      </c>
      <c r="F268" s="144"/>
      <c r="G268" s="87">
        <f>SUM(G266:G267)</f>
        <v>86878.805800000031</v>
      </c>
      <c r="H268" s="87">
        <f>SUM(H266:H267)</f>
        <v>787026.2799999998</v>
      </c>
      <c r="I268" s="87">
        <v>1849.9</v>
      </c>
      <c r="J268" s="87">
        <v>27087.88</v>
      </c>
      <c r="K268" s="87"/>
      <c r="L268" s="87"/>
      <c r="M268" s="87"/>
      <c r="N268" s="87"/>
      <c r="O268" s="87"/>
      <c r="P268" s="221" t="s">
        <v>197</v>
      </c>
      <c r="Q268" s="144"/>
      <c r="R268" s="213"/>
      <c r="S268" s="50"/>
    </row>
    <row r="269" spans="1:19" s="236" customFormat="1" ht="41.25" customHeight="1" x14ac:dyDescent="0.25">
      <c r="A269" s="230"/>
      <c r="B269" s="237"/>
      <c r="C269" s="131" t="s">
        <v>173</v>
      </c>
      <c r="D269" s="99" t="s">
        <v>208</v>
      </c>
      <c r="E269" s="243">
        <v>385.14</v>
      </c>
      <c r="F269" s="243" t="s">
        <v>210</v>
      </c>
      <c r="G269" s="232"/>
      <c r="H269" s="232"/>
      <c r="I269" s="232">
        <f>385.14*5.6</f>
        <v>2156.7839999999997</v>
      </c>
      <c r="J269" s="232">
        <f>385.14*95</f>
        <v>36588.299999999996</v>
      </c>
      <c r="K269" s="232"/>
      <c r="L269" s="232"/>
      <c r="M269" s="232"/>
      <c r="N269" s="232"/>
      <c r="O269" s="232"/>
      <c r="P269" s="233"/>
      <c r="Q269" s="243"/>
      <c r="R269" s="244"/>
      <c r="S269" s="235"/>
    </row>
    <row r="270" spans="1:19" s="2" customFormat="1" ht="41.25" customHeight="1" x14ac:dyDescent="0.25">
      <c r="A270" s="18"/>
      <c r="B270" s="122"/>
      <c r="C270" s="132" t="s">
        <v>41</v>
      </c>
      <c r="D270" s="100" t="s">
        <v>209</v>
      </c>
      <c r="E270" s="144">
        <f>SUM(E268:E269)</f>
        <v>24989.420000000002</v>
      </c>
      <c r="F270" s="144"/>
      <c r="G270" s="87">
        <f>SUM(G268:G269)</f>
        <v>86878.805800000031</v>
      </c>
      <c r="H270" s="87">
        <f>SUM(H268:H269)</f>
        <v>787026.2799999998</v>
      </c>
      <c r="I270" s="87">
        <f>SUM(I268:I269)</f>
        <v>4006.6839999999997</v>
      </c>
      <c r="J270" s="87">
        <f>SUM(J268:J269)</f>
        <v>63676.179999999993</v>
      </c>
      <c r="K270" s="87"/>
      <c r="L270" s="87"/>
      <c r="M270" s="87"/>
      <c r="N270" s="87"/>
      <c r="O270" s="87"/>
      <c r="P270" s="221" t="s">
        <v>197</v>
      </c>
      <c r="Q270" s="144"/>
      <c r="R270" s="213"/>
      <c r="S270" s="50"/>
    </row>
    <row r="271" spans="1:19" s="236" customFormat="1" ht="41.25" customHeight="1" x14ac:dyDescent="0.25">
      <c r="A271" s="230"/>
      <c r="B271" s="237"/>
      <c r="C271" s="131" t="s">
        <v>173</v>
      </c>
      <c r="D271" s="99" t="s">
        <v>215</v>
      </c>
      <c r="E271" s="243">
        <v>437.78</v>
      </c>
      <c r="F271" s="243" t="s">
        <v>210</v>
      </c>
      <c r="G271" s="232">
        <f>580.94*5.6</f>
        <v>3253.2640000000001</v>
      </c>
      <c r="H271" s="232">
        <f>27087.88+250.6*95</f>
        <v>50894.880000000005</v>
      </c>
      <c r="I271" s="232">
        <f>572.32*5.6</f>
        <v>3204.9920000000002</v>
      </c>
      <c r="J271" s="232">
        <f>572.32*95</f>
        <v>54370.400000000001</v>
      </c>
      <c r="K271" s="232"/>
      <c r="L271" s="232"/>
      <c r="M271" s="232"/>
      <c r="N271" s="232"/>
      <c r="O271" s="232"/>
      <c r="P271" s="233"/>
      <c r="Q271" s="243"/>
      <c r="R271" s="244"/>
      <c r="S271" s="235"/>
    </row>
    <row r="272" spans="1:19" s="2" customFormat="1" ht="41.25" customHeight="1" x14ac:dyDescent="0.25">
      <c r="A272" s="18"/>
      <c r="B272" s="122"/>
      <c r="C272" s="132" t="s">
        <v>41</v>
      </c>
      <c r="D272" s="100" t="s">
        <v>216</v>
      </c>
      <c r="E272" s="144">
        <f>SUM(E270:E271)</f>
        <v>25427.200000000001</v>
      </c>
      <c r="F272" s="144"/>
      <c r="G272" s="87">
        <f>SUM(G270:G271)</f>
        <v>90132.069800000027</v>
      </c>
      <c r="H272" s="87">
        <f>SUM(H270:H271)</f>
        <v>837921.1599999998</v>
      </c>
      <c r="I272" s="87">
        <v>3204.99</v>
      </c>
      <c r="J272" s="87">
        <v>54370.400000000001</v>
      </c>
      <c r="K272" s="87"/>
      <c r="L272" s="87"/>
      <c r="M272" s="87"/>
      <c r="N272" s="87"/>
      <c r="O272" s="87"/>
      <c r="P272" s="221" t="s">
        <v>197</v>
      </c>
      <c r="Q272" s="144"/>
      <c r="R272" s="213"/>
      <c r="S272" s="50"/>
    </row>
    <row r="273" spans="1:19" s="2" customFormat="1" ht="41.25" customHeight="1" x14ac:dyDescent="0.25">
      <c r="A273" s="20"/>
      <c r="B273" s="129"/>
      <c r="C273" s="131" t="s">
        <v>173</v>
      </c>
      <c r="D273" s="99" t="s">
        <v>218</v>
      </c>
      <c r="E273" s="147">
        <v>442.46</v>
      </c>
      <c r="F273" s="243" t="s">
        <v>210</v>
      </c>
      <c r="G273" s="94">
        <f>3204.99+53.31-(73.81+74.37)</f>
        <v>3110.12</v>
      </c>
      <c r="H273" s="94">
        <f>54370.4+904.4-(1252.1+1261.6)</f>
        <v>52761.100000000006</v>
      </c>
      <c r="I273" s="94">
        <f>(442.46-9.52)*5.6+73.81+74.37</f>
        <v>2572.6439999999998</v>
      </c>
      <c r="J273" s="94">
        <f>(442.46-9.52)*95+1252.1+1261.6</f>
        <v>43643</v>
      </c>
      <c r="K273" s="94"/>
      <c r="L273" s="94"/>
      <c r="M273" s="94"/>
      <c r="N273" s="94"/>
      <c r="O273" s="94"/>
      <c r="P273" s="220"/>
      <c r="Q273" s="147"/>
      <c r="R273" s="214"/>
      <c r="S273" s="47"/>
    </row>
    <row r="274" spans="1:19" s="2" customFormat="1" ht="41.25" customHeight="1" x14ac:dyDescent="0.25">
      <c r="A274" s="20"/>
      <c r="B274" s="129"/>
      <c r="C274" s="131"/>
      <c r="D274" s="99" t="s">
        <v>220</v>
      </c>
      <c r="E274" s="147">
        <v>6.62</v>
      </c>
      <c r="F274" s="147"/>
      <c r="G274" s="94"/>
      <c r="H274" s="94"/>
      <c r="I274" s="94"/>
      <c r="J274" s="94"/>
      <c r="K274" s="94"/>
      <c r="L274" s="94"/>
      <c r="M274" s="94"/>
      <c r="N274" s="94"/>
      <c r="O274" s="94"/>
      <c r="P274" s="220"/>
      <c r="Q274" s="147"/>
      <c r="R274" s="214"/>
      <c r="S274" s="47"/>
    </row>
    <row r="275" spans="1:19" s="2" customFormat="1" ht="41.25" customHeight="1" x14ac:dyDescent="0.25">
      <c r="A275" s="18"/>
      <c r="B275" s="122"/>
      <c r="C275" s="132" t="s">
        <v>41</v>
      </c>
      <c r="D275" s="100" t="s">
        <v>219</v>
      </c>
      <c r="E275" s="144">
        <f>SUM(E272:E273:E274)</f>
        <v>25876.28</v>
      </c>
      <c r="F275" s="144"/>
      <c r="G275" s="87">
        <f>SUM(G272:G273)</f>
        <v>93242.189800000022</v>
      </c>
      <c r="H275" s="87">
        <f>SUM(H272:H273)</f>
        <v>890682.25999999978</v>
      </c>
      <c r="I275" s="87">
        <v>2572.64</v>
      </c>
      <c r="J275" s="87">
        <v>43643</v>
      </c>
      <c r="K275" s="87"/>
      <c r="L275" s="87"/>
      <c r="M275" s="87"/>
      <c r="N275" s="87"/>
      <c r="O275" s="87"/>
      <c r="P275" s="221" t="s">
        <v>197</v>
      </c>
      <c r="Q275" s="144"/>
      <c r="R275" s="213"/>
      <c r="S275" s="50"/>
    </row>
    <row r="276" spans="1:19" s="236" customFormat="1" ht="41.25" customHeight="1" x14ac:dyDescent="0.25">
      <c r="A276" s="230"/>
      <c r="B276" s="237"/>
      <c r="C276" s="131" t="s">
        <v>173</v>
      </c>
      <c r="D276" s="99" t="s">
        <v>227</v>
      </c>
      <c r="E276" s="243">
        <v>411.1</v>
      </c>
      <c r="F276" s="243" t="s">
        <v>210</v>
      </c>
      <c r="G276" s="232">
        <f>2572.64+281.2*5.6-37.86</f>
        <v>4109.5</v>
      </c>
      <c r="H276" s="232">
        <f>43643+281.2*95-642.2</f>
        <v>69714.8</v>
      </c>
      <c r="I276" s="232">
        <f>129.9*5.6+37.86</f>
        <v>765.3</v>
      </c>
      <c r="J276" s="232">
        <f>129.9*95+642.2</f>
        <v>12982.7</v>
      </c>
      <c r="K276" s="232"/>
      <c r="L276" s="232"/>
      <c r="M276" s="232"/>
      <c r="N276" s="232"/>
      <c r="O276" s="232"/>
      <c r="P276" s="233" t="s">
        <v>236</v>
      </c>
      <c r="Q276" s="243"/>
      <c r="R276" s="244"/>
      <c r="S276" s="235"/>
    </row>
    <row r="277" spans="1:19" s="2" customFormat="1" ht="41.25" customHeight="1" x14ac:dyDescent="0.25">
      <c r="A277" s="18"/>
      <c r="B277" s="122"/>
      <c r="C277" s="132" t="s">
        <v>41</v>
      </c>
      <c r="D277" s="100" t="s">
        <v>228</v>
      </c>
      <c r="E277" s="144">
        <f>SUM(E275:E276)</f>
        <v>26287.379999999997</v>
      </c>
      <c r="F277" s="144"/>
      <c r="G277" s="87">
        <f>SUM(G275:G276)</f>
        <v>97351.689800000022</v>
      </c>
      <c r="H277" s="87">
        <f>SUM(H275:H276)</f>
        <v>960397.05999999982</v>
      </c>
      <c r="I277" s="87">
        <v>765.3</v>
      </c>
      <c r="J277" s="87">
        <v>12982.7</v>
      </c>
      <c r="K277" s="87"/>
      <c r="L277" s="87"/>
      <c r="M277" s="87"/>
      <c r="N277" s="87"/>
      <c r="O277" s="87"/>
      <c r="P277" s="221" t="s">
        <v>235</v>
      </c>
      <c r="Q277" s="144"/>
      <c r="R277" s="213"/>
      <c r="S277" s="50"/>
    </row>
    <row r="278" spans="1:19" s="2" customFormat="1" ht="41.25" customHeight="1" x14ac:dyDescent="0.25">
      <c r="A278" s="18"/>
      <c r="B278" s="122"/>
      <c r="C278" s="132" t="s">
        <v>41</v>
      </c>
      <c r="D278" s="100" t="s">
        <v>249</v>
      </c>
      <c r="E278" s="144">
        <v>30362.89</v>
      </c>
      <c r="F278" s="144"/>
      <c r="G278" s="87">
        <v>126245.75999999999</v>
      </c>
      <c r="H278" s="87">
        <v>1485629.62</v>
      </c>
      <c r="I278" s="87">
        <v>127419.92</v>
      </c>
      <c r="J278" s="87">
        <v>1360553.25</v>
      </c>
      <c r="K278" s="87"/>
      <c r="L278" s="87"/>
      <c r="M278" s="87"/>
      <c r="N278" s="87"/>
      <c r="O278" s="87"/>
      <c r="P278" s="221" t="s">
        <v>250</v>
      </c>
      <c r="Q278" s="144"/>
      <c r="R278" s="213"/>
      <c r="S278" s="50"/>
    </row>
    <row r="279" spans="1:19" x14ac:dyDescent="0.25">
      <c r="A279" s="23"/>
      <c r="B279" s="23"/>
      <c r="C279" s="23"/>
      <c r="D279" s="36"/>
      <c r="E279" s="53"/>
      <c r="F279" s="35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72"/>
      <c r="S279" s="55"/>
    </row>
    <row r="280" spans="1:19" ht="27.75" customHeight="1" x14ac:dyDescent="0.25">
      <c r="A280" s="20"/>
      <c r="B280" s="115" t="s">
        <v>40</v>
      </c>
      <c r="C280" s="131" t="s">
        <v>42</v>
      </c>
      <c r="D280" s="117">
        <v>2011</v>
      </c>
      <c r="E280" s="166">
        <v>1342.2850000000001</v>
      </c>
      <c r="F280" s="142">
        <v>3.18</v>
      </c>
      <c r="G280" s="94">
        <f>E280*F280</f>
        <v>4268.4663</v>
      </c>
      <c r="H280" s="94">
        <v>4026.855</v>
      </c>
      <c r="I280" s="94"/>
      <c r="J280" s="94"/>
      <c r="K280" s="94"/>
      <c r="L280" s="129"/>
      <c r="M280" s="129"/>
      <c r="N280" s="129"/>
      <c r="O280" s="129"/>
      <c r="P280" s="94">
        <v>0</v>
      </c>
      <c r="Q280" s="73"/>
      <c r="R280" s="74"/>
      <c r="S280" s="51"/>
    </row>
    <row r="281" spans="1:19" x14ac:dyDescent="0.25">
      <c r="A281" s="16"/>
      <c r="B281" s="119"/>
      <c r="C281" s="131" t="s">
        <v>42</v>
      </c>
      <c r="D281" s="160">
        <v>2012</v>
      </c>
      <c r="E281" s="161">
        <v>1376.44</v>
      </c>
      <c r="F281" s="141">
        <v>3.18</v>
      </c>
      <c r="G281" s="94">
        <f>E281*F281</f>
        <v>4377.0792000000001</v>
      </c>
      <c r="H281" s="94">
        <v>12387.9</v>
      </c>
      <c r="I281" s="84"/>
      <c r="J281" s="84"/>
      <c r="K281" s="94"/>
      <c r="L281" s="119"/>
      <c r="M281" s="119"/>
      <c r="N281" s="119"/>
      <c r="O281" s="119"/>
      <c r="P281" s="94">
        <v>0</v>
      </c>
      <c r="Q281" s="38"/>
      <c r="R281" s="75"/>
      <c r="S281" s="51"/>
    </row>
    <row r="282" spans="1:19" ht="42.75" customHeight="1" x14ac:dyDescent="0.25">
      <c r="A282" s="18"/>
      <c r="B282" s="122"/>
      <c r="C282" s="132" t="s">
        <v>42</v>
      </c>
      <c r="D282" s="96" t="s">
        <v>25</v>
      </c>
      <c r="E282" s="89">
        <f>SUM(E280:E281)</f>
        <v>2718.7250000000004</v>
      </c>
      <c r="F282" s="89"/>
      <c r="G282" s="87">
        <f t="shared" ref="G282:H282" si="69">SUM(G280:G281)</f>
        <v>8645.5455000000002</v>
      </c>
      <c r="H282" s="87">
        <f t="shared" si="69"/>
        <v>16414.755000000001</v>
      </c>
      <c r="I282" s="87"/>
      <c r="J282" s="87"/>
      <c r="K282" s="87"/>
      <c r="L282" s="122"/>
      <c r="M282" s="122"/>
      <c r="N282" s="122"/>
      <c r="O282" s="122"/>
      <c r="P282" s="87">
        <v>0</v>
      </c>
      <c r="Q282" s="76"/>
      <c r="R282" s="77"/>
      <c r="S282" s="50"/>
    </row>
    <row r="283" spans="1:19" x14ac:dyDescent="0.25">
      <c r="A283" s="16"/>
      <c r="B283" s="119"/>
      <c r="C283" s="131" t="s">
        <v>42</v>
      </c>
      <c r="D283" s="120">
        <v>2013</v>
      </c>
      <c r="E283" s="161">
        <v>1664.8520000000001</v>
      </c>
      <c r="F283" s="141">
        <v>3.18</v>
      </c>
      <c r="G283" s="142">
        <v>5294.23</v>
      </c>
      <c r="H283" s="142">
        <v>24972.78</v>
      </c>
      <c r="I283" s="141"/>
      <c r="J283" s="141"/>
      <c r="K283" s="94"/>
      <c r="L283" s="119"/>
      <c r="M283" s="119"/>
      <c r="N283" s="119"/>
      <c r="O283" s="119"/>
      <c r="P283" s="94">
        <v>0</v>
      </c>
      <c r="Q283" s="38"/>
      <c r="R283" s="75"/>
      <c r="S283" s="51"/>
    </row>
    <row r="284" spans="1:19" ht="42.75" customHeight="1" x14ac:dyDescent="0.25">
      <c r="A284" s="18"/>
      <c r="B284" s="122"/>
      <c r="C284" s="132" t="s">
        <v>42</v>
      </c>
      <c r="D284" s="96" t="s">
        <v>38</v>
      </c>
      <c r="E284" s="89">
        <f>SUM(E282:E283)</f>
        <v>4383.5770000000002</v>
      </c>
      <c r="F284" s="89"/>
      <c r="G284" s="87">
        <f t="shared" ref="G284:H284" si="70">SUM(G282:G283)</f>
        <v>13939.7755</v>
      </c>
      <c r="H284" s="87">
        <f t="shared" si="70"/>
        <v>41387.535000000003</v>
      </c>
      <c r="I284" s="87"/>
      <c r="J284" s="87"/>
      <c r="K284" s="87"/>
      <c r="L284" s="122"/>
      <c r="M284" s="122"/>
      <c r="N284" s="122"/>
      <c r="O284" s="122"/>
      <c r="P284" s="87">
        <v>0</v>
      </c>
      <c r="Q284" s="76"/>
      <c r="R284" s="77"/>
      <c r="S284" s="50"/>
    </row>
    <row r="285" spans="1:19" x14ac:dyDescent="0.25">
      <c r="A285" s="16"/>
      <c r="B285" s="119"/>
      <c r="C285" s="131" t="s">
        <v>42</v>
      </c>
      <c r="D285" s="120">
        <v>2014</v>
      </c>
      <c r="E285" s="161">
        <v>1625.75</v>
      </c>
      <c r="F285" s="141">
        <v>3.18</v>
      </c>
      <c r="G285" s="94">
        <f>E285*F285</f>
        <v>5169.8850000000002</v>
      </c>
      <c r="H285" s="94">
        <v>35766.5</v>
      </c>
      <c r="I285" s="84"/>
      <c r="J285" s="84"/>
      <c r="K285" s="94"/>
      <c r="L285" s="119"/>
      <c r="M285" s="119"/>
      <c r="N285" s="119"/>
      <c r="O285" s="119"/>
      <c r="P285" s="94">
        <v>0</v>
      </c>
      <c r="Q285" s="38"/>
      <c r="R285" s="75"/>
      <c r="S285" s="51"/>
    </row>
    <row r="286" spans="1:19" ht="38.25" customHeight="1" x14ac:dyDescent="0.25">
      <c r="A286" s="18"/>
      <c r="B286" s="122"/>
      <c r="C286" s="132" t="s">
        <v>42</v>
      </c>
      <c r="D286" s="96" t="s">
        <v>24</v>
      </c>
      <c r="E286" s="89">
        <f>SUM(E284:E285)</f>
        <v>6009.3270000000002</v>
      </c>
      <c r="F286" s="89"/>
      <c r="G286" s="87">
        <f t="shared" ref="G286:H286" si="71">SUM(G284:G285)</f>
        <v>19109.660499999998</v>
      </c>
      <c r="H286" s="87">
        <f t="shared" si="71"/>
        <v>77154.035000000003</v>
      </c>
      <c r="I286" s="87"/>
      <c r="J286" s="87"/>
      <c r="K286" s="87"/>
      <c r="L286" s="122"/>
      <c r="M286" s="122"/>
      <c r="N286" s="122"/>
      <c r="O286" s="122"/>
      <c r="P286" s="87">
        <v>0</v>
      </c>
      <c r="Q286" s="76"/>
      <c r="R286" s="77"/>
      <c r="S286" s="50"/>
    </row>
    <row r="287" spans="1:19" x14ac:dyDescent="0.25">
      <c r="A287" s="16"/>
      <c r="B287" s="119"/>
      <c r="C287" s="131" t="s">
        <v>42</v>
      </c>
      <c r="D287" s="120">
        <v>2015</v>
      </c>
      <c r="E287" s="161">
        <v>1598.13</v>
      </c>
      <c r="F287" s="141">
        <v>3.37</v>
      </c>
      <c r="G287" s="94">
        <f>E287*F287</f>
        <v>5385.6981000000005</v>
      </c>
      <c r="H287" s="94">
        <v>44747.64</v>
      </c>
      <c r="I287" s="84"/>
      <c r="J287" s="84"/>
      <c r="K287" s="94"/>
      <c r="L287" s="119"/>
      <c r="M287" s="119"/>
      <c r="N287" s="119"/>
      <c r="O287" s="119"/>
      <c r="P287" s="94">
        <v>0</v>
      </c>
      <c r="Q287" s="38"/>
      <c r="R287" s="75"/>
      <c r="S287" s="51"/>
    </row>
    <row r="288" spans="1:19" ht="42" customHeight="1" x14ac:dyDescent="0.25">
      <c r="A288" s="18"/>
      <c r="B288" s="122"/>
      <c r="C288" s="132" t="s">
        <v>42</v>
      </c>
      <c r="D288" s="96" t="s">
        <v>26</v>
      </c>
      <c r="E288" s="89">
        <f>SUM(E286:E287)</f>
        <v>7607.4570000000003</v>
      </c>
      <c r="F288" s="89"/>
      <c r="G288" s="87">
        <f t="shared" ref="G288:H288" si="72">SUM(G286:G287)</f>
        <v>24495.3586</v>
      </c>
      <c r="H288" s="87">
        <f t="shared" si="72"/>
        <v>121901.675</v>
      </c>
      <c r="I288" s="87"/>
      <c r="J288" s="87"/>
      <c r="K288" s="87"/>
      <c r="L288" s="122"/>
      <c r="M288" s="122"/>
      <c r="N288" s="122"/>
      <c r="O288" s="122"/>
      <c r="P288" s="87">
        <v>0</v>
      </c>
      <c r="Q288" s="76"/>
      <c r="R288" s="77"/>
      <c r="S288" s="50"/>
    </row>
    <row r="289" spans="1:16384" x14ac:dyDescent="0.25">
      <c r="A289" s="16"/>
      <c r="B289" s="119"/>
      <c r="C289" s="131" t="s">
        <v>42</v>
      </c>
      <c r="D289" s="99" t="s">
        <v>29</v>
      </c>
      <c r="E289" s="137">
        <v>383.74</v>
      </c>
      <c r="F289" s="141">
        <v>3.37</v>
      </c>
      <c r="G289" s="94">
        <f>E289*F289</f>
        <v>1293.2038</v>
      </c>
      <c r="H289" s="94">
        <v>13814.64</v>
      </c>
      <c r="I289" s="84"/>
      <c r="J289" s="84"/>
      <c r="K289" s="94"/>
      <c r="L289" s="119"/>
      <c r="M289" s="119"/>
      <c r="N289" s="119"/>
      <c r="O289" s="119"/>
      <c r="P289" s="94">
        <v>0</v>
      </c>
      <c r="Q289" s="38"/>
      <c r="R289" s="75"/>
      <c r="S289" s="51"/>
    </row>
    <row r="290" spans="1:16384" ht="40.5" customHeight="1" x14ac:dyDescent="0.25">
      <c r="A290" s="18"/>
      <c r="B290" s="122"/>
      <c r="C290" s="132" t="s">
        <v>42</v>
      </c>
      <c r="D290" s="100" t="s">
        <v>30</v>
      </c>
      <c r="E290" s="89">
        <f>SUM(E288:E289)</f>
        <v>7991.1970000000001</v>
      </c>
      <c r="F290" s="89"/>
      <c r="G290" s="87">
        <f t="shared" ref="G290:H290" si="73">SUM(G288:G289)</f>
        <v>25788.562399999999</v>
      </c>
      <c r="H290" s="87">
        <f t="shared" si="73"/>
        <v>135716.315</v>
      </c>
      <c r="I290" s="87"/>
      <c r="J290" s="87"/>
      <c r="K290" s="87"/>
      <c r="L290" s="122"/>
      <c r="M290" s="122"/>
      <c r="N290" s="122"/>
      <c r="O290" s="122"/>
      <c r="P290" s="87">
        <v>0</v>
      </c>
      <c r="Q290" s="76"/>
      <c r="R290" s="77"/>
      <c r="S290" s="50"/>
    </row>
    <row r="291" spans="1:16384" x14ac:dyDescent="0.25">
      <c r="A291" s="16"/>
      <c r="B291" s="119"/>
      <c r="C291" s="131" t="s">
        <v>42</v>
      </c>
      <c r="D291" s="99"/>
      <c r="E291" s="137">
        <v>534.94000000000005</v>
      </c>
      <c r="F291" s="141">
        <v>3.37</v>
      </c>
      <c r="G291" s="94">
        <f>E291*F291</f>
        <v>1802.7478000000003</v>
      </c>
      <c r="H291" s="94">
        <v>19257.84</v>
      </c>
      <c r="I291" s="84"/>
      <c r="J291" s="84"/>
      <c r="K291" s="94"/>
      <c r="L291" s="119"/>
      <c r="M291" s="119"/>
      <c r="N291" s="119"/>
      <c r="O291" s="119"/>
      <c r="P291" s="94">
        <v>0</v>
      </c>
      <c r="Q291" s="38"/>
      <c r="R291" s="75"/>
      <c r="S291" s="51"/>
    </row>
    <row r="292" spans="1:16384" ht="44.25" customHeight="1" x14ac:dyDescent="0.25">
      <c r="A292" s="16"/>
      <c r="B292" s="119"/>
      <c r="C292" s="101" t="s">
        <v>45</v>
      </c>
      <c r="D292" s="99"/>
      <c r="E292" s="137">
        <v>21.26</v>
      </c>
      <c r="F292" s="84">
        <v>0</v>
      </c>
      <c r="G292" s="94">
        <v>0</v>
      </c>
      <c r="H292" s="94">
        <v>0</v>
      </c>
      <c r="I292" s="84"/>
      <c r="J292" s="84"/>
      <c r="K292" s="84"/>
      <c r="L292" s="119"/>
      <c r="M292" s="119"/>
      <c r="N292" s="119"/>
      <c r="O292" s="119"/>
      <c r="P292" s="94"/>
      <c r="Q292" s="38"/>
      <c r="R292" s="75"/>
      <c r="S292" s="51"/>
    </row>
    <row r="293" spans="1:16384" ht="41.25" customHeight="1" x14ac:dyDescent="0.25">
      <c r="A293" s="18"/>
      <c r="B293" s="122"/>
      <c r="C293" s="132" t="s">
        <v>42</v>
      </c>
      <c r="D293" s="100" t="s">
        <v>32</v>
      </c>
      <c r="E293" s="89">
        <f>SUM(E290:E292)</f>
        <v>8547.3970000000008</v>
      </c>
      <c r="F293" s="89"/>
      <c r="G293" s="87">
        <f t="shared" ref="G293:H293" si="74">SUM(G290:G292)</f>
        <v>27591.3102</v>
      </c>
      <c r="H293" s="87">
        <f t="shared" si="74"/>
        <v>154974.155</v>
      </c>
      <c r="I293" s="87"/>
      <c r="J293" s="87"/>
      <c r="K293" s="87"/>
      <c r="L293" s="122"/>
      <c r="M293" s="122"/>
      <c r="N293" s="122"/>
      <c r="O293" s="122"/>
      <c r="P293" s="87">
        <v>0</v>
      </c>
      <c r="Q293" s="76"/>
      <c r="R293" s="77"/>
      <c r="S293" s="50"/>
    </row>
    <row r="294" spans="1:16384" x14ac:dyDescent="0.25">
      <c r="A294" s="16"/>
      <c r="B294" s="119"/>
      <c r="C294" s="131" t="s">
        <v>42</v>
      </c>
      <c r="D294" s="99" t="s">
        <v>33</v>
      </c>
      <c r="E294" s="137">
        <v>505.66</v>
      </c>
      <c r="F294" s="141">
        <v>3.37</v>
      </c>
      <c r="G294" s="94">
        <f>E294*F294</f>
        <v>1704.0742000000002</v>
      </c>
      <c r="H294" s="94">
        <v>18203.759999999998</v>
      </c>
      <c r="I294" s="84"/>
      <c r="J294" s="84"/>
      <c r="K294" s="94"/>
      <c r="L294" s="119"/>
      <c r="M294" s="119"/>
      <c r="N294" s="119"/>
      <c r="O294" s="119"/>
      <c r="P294" s="94">
        <v>4680</v>
      </c>
      <c r="Q294" s="38"/>
      <c r="R294" s="75"/>
      <c r="S294" s="51"/>
    </row>
    <row r="295" spans="1:16384" ht="42.75" customHeight="1" x14ac:dyDescent="0.25">
      <c r="A295" s="18"/>
      <c r="B295" s="122"/>
      <c r="C295" s="132" t="s">
        <v>42</v>
      </c>
      <c r="D295" s="100" t="s">
        <v>35</v>
      </c>
      <c r="E295" s="89">
        <f>SUM(E293:E294)</f>
        <v>9053.0570000000007</v>
      </c>
      <c r="F295" s="89"/>
      <c r="G295" s="87">
        <f t="shared" ref="G295:H295" si="75">SUM(G293:G294)</f>
        <v>29295.384399999999</v>
      </c>
      <c r="H295" s="87">
        <f t="shared" si="75"/>
        <v>173177.91500000001</v>
      </c>
      <c r="I295" s="87"/>
      <c r="J295" s="87"/>
      <c r="K295" s="87"/>
      <c r="L295" s="122"/>
      <c r="M295" s="122"/>
      <c r="N295" s="122"/>
      <c r="O295" s="122"/>
      <c r="P295" s="87">
        <v>4680</v>
      </c>
      <c r="Q295" s="76"/>
      <c r="R295" s="77"/>
      <c r="S295" s="50"/>
    </row>
    <row r="296" spans="1:16384" x14ac:dyDescent="0.25">
      <c r="A296" s="16"/>
      <c r="B296" s="119"/>
      <c r="C296" s="131" t="s">
        <v>42</v>
      </c>
      <c r="D296" s="99" t="s">
        <v>34</v>
      </c>
      <c r="E296" s="137">
        <v>444.6</v>
      </c>
      <c r="F296" s="141">
        <v>3.37</v>
      </c>
      <c r="G296" s="94">
        <f>E296*F296</f>
        <v>1498.3020000000001</v>
      </c>
      <c r="H296" s="94">
        <v>16005.6</v>
      </c>
      <c r="I296" s="84"/>
      <c r="J296" s="84"/>
      <c r="K296" s="94"/>
      <c r="L296" s="119"/>
      <c r="M296" s="119"/>
      <c r="N296" s="119"/>
      <c r="O296" s="119"/>
      <c r="P296" s="94">
        <v>0</v>
      </c>
      <c r="Q296" s="38"/>
      <c r="R296" s="75"/>
      <c r="S296" s="51"/>
    </row>
    <row r="297" spans="1:16384" ht="45" customHeight="1" x14ac:dyDescent="0.25">
      <c r="A297" s="18"/>
      <c r="B297" s="122"/>
      <c r="C297" s="132" t="s">
        <v>42</v>
      </c>
      <c r="D297" s="100" t="s">
        <v>36</v>
      </c>
      <c r="E297" s="89">
        <f>SUM(E295:E296)</f>
        <v>9497.6570000000011</v>
      </c>
      <c r="F297" s="89"/>
      <c r="G297" s="87">
        <f t="shared" ref="G297:H297" si="76">SUM(G295:G296)</f>
        <v>30793.686399999999</v>
      </c>
      <c r="H297" s="87">
        <f t="shared" si="76"/>
        <v>189183.51500000001</v>
      </c>
      <c r="I297" s="87"/>
      <c r="J297" s="87"/>
      <c r="K297" s="87"/>
      <c r="L297" s="122"/>
      <c r="M297" s="122"/>
      <c r="N297" s="122"/>
      <c r="O297" s="122"/>
      <c r="P297" s="87">
        <v>4680</v>
      </c>
      <c r="Q297" s="76"/>
      <c r="R297" s="77"/>
      <c r="S297" s="50"/>
      <c r="V297" s="2"/>
    </row>
    <row r="298" spans="1:16384" s="2" customFormat="1" x14ac:dyDescent="0.25">
      <c r="A298" s="20"/>
      <c r="B298" s="129"/>
      <c r="C298" s="131" t="s">
        <v>42</v>
      </c>
      <c r="D298" s="99" t="s">
        <v>57</v>
      </c>
      <c r="E298" s="93">
        <v>376.24</v>
      </c>
      <c r="F298" s="94">
        <v>3.37</v>
      </c>
      <c r="G298" s="94">
        <f>E298*F298</f>
        <v>1267.9288000000001</v>
      </c>
      <c r="H298" s="94">
        <v>15049.6</v>
      </c>
      <c r="I298" s="94"/>
      <c r="J298" s="94"/>
      <c r="K298" s="94"/>
      <c r="L298" s="129"/>
      <c r="M298" s="129"/>
      <c r="N298" s="129"/>
      <c r="O298" s="129"/>
      <c r="P298" s="94">
        <v>0</v>
      </c>
      <c r="Q298" s="73"/>
      <c r="R298" s="74"/>
      <c r="S298" s="47"/>
    </row>
    <row r="299" spans="1:16384" s="2" customFormat="1" ht="42" customHeight="1" x14ac:dyDescent="0.25">
      <c r="A299" s="18"/>
      <c r="B299" s="122"/>
      <c r="C299" s="132" t="s">
        <v>42</v>
      </c>
      <c r="D299" s="100" t="s">
        <v>58</v>
      </c>
      <c r="E299" s="89">
        <f>SUM(E297:E298)</f>
        <v>9873.8970000000008</v>
      </c>
      <c r="F299" s="89"/>
      <c r="G299" s="87">
        <f t="shared" ref="G299:H299" si="77">SUM(G297:G298)</f>
        <v>32061.6152</v>
      </c>
      <c r="H299" s="87">
        <f t="shared" si="77"/>
        <v>204233.11500000002</v>
      </c>
      <c r="I299" s="87"/>
      <c r="J299" s="87"/>
      <c r="K299" s="87"/>
      <c r="L299" s="122"/>
      <c r="M299" s="122"/>
      <c r="N299" s="122"/>
      <c r="O299" s="122"/>
      <c r="P299" s="87">
        <v>4680</v>
      </c>
      <c r="Q299" s="76"/>
      <c r="R299" s="77"/>
      <c r="S299" s="50"/>
    </row>
    <row r="300" spans="1:16384" s="2" customFormat="1" x14ac:dyDescent="0.25">
      <c r="A300" s="20"/>
      <c r="B300" s="129"/>
      <c r="C300" s="131" t="s">
        <v>42</v>
      </c>
      <c r="D300" s="99" t="s">
        <v>61</v>
      </c>
      <c r="E300" s="93">
        <v>491.04</v>
      </c>
      <c r="F300" s="94">
        <v>3.37</v>
      </c>
      <c r="G300" s="94">
        <f>E300*F300</f>
        <v>1654.8048000000001</v>
      </c>
      <c r="H300" s="94">
        <v>19641.599999999999</v>
      </c>
      <c r="I300" s="94"/>
      <c r="J300" s="94"/>
      <c r="K300" s="94"/>
      <c r="L300" s="129"/>
      <c r="M300" s="129"/>
      <c r="N300" s="129"/>
      <c r="O300" s="129"/>
      <c r="P300" s="94">
        <v>28300.07</v>
      </c>
      <c r="Q300" s="73"/>
      <c r="R300" s="74"/>
      <c r="S300" s="47"/>
    </row>
    <row r="301" spans="1:16384" s="2" customFormat="1" ht="43.5" customHeight="1" x14ac:dyDescent="0.25">
      <c r="A301" s="18"/>
      <c r="B301" s="122"/>
      <c r="C301" s="132" t="s">
        <v>42</v>
      </c>
      <c r="D301" s="100" t="s">
        <v>63</v>
      </c>
      <c r="E301" s="89">
        <f>SUM(E299:E300)</f>
        <v>10364.937000000002</v>
      </c>
      <c r="F301" s="89"/>
      <c r="G301" s="87">
        <f t="shared" ref="G301:H301" si="78">SUM(G299:G300)</f>
        <v>33716.42</v>
      </c>
      <c r="H301" s="87">
        <f t="shared" si="78"/>
        <v>223874.71500000003</v>
      </c>
      <c r="I301" s="87"/>
      <c r="J301" s="87"/>
      <c r="K301" s="87"/>
      <c r="L301" s="122"/>
      <c r="M301" s="122"/>
      <c r="N301" s="122"/>
      <c r="O301" s="122"/>
      <c r="P301" s="87">
        <f>SUM(P299:P300)</f>
        <v>32980.07</v>
      </c>
      <c r="Q301" s="76"/>
      <c r="R301" s="77"/>
      <c r="S301" s="50"/>
    </row>
    <row r="302" spans="1:16384" s="2" customFormat="1" ht="17.25" customHeight="1" x14ac:dyDescent="0.25">
      <c r="A302" s="194"/>
      <c r="B302" s="195"/>
      <c r="C302" s="131" t="s">
        <v>42</v>
      </c>
      <c r="D302" s="196" t="s">
        <v>64</v>
      </c>
      <c r="E302" s="147">
        <v>509.14</v>
      </c>
      <c r="F302" s="148">
        <v>3.37</v>
      </c>
      <c r="G302" s="148">
        <f>E302*F302</f>
        <v>1715.8018</v>
      </c>
      <c r="H302" s="148">
        <v>20365.599999999999</v>
      </c>
      <c r="I302" s="148"/>
      <c r="J302" s="148"/>
      <c r="K302" s="148"/>
      <c r="L302" s="195"/>
      <c r="M302" s="195"/>
      <c r="N302" s="195"/>
      <c r="O302" s="195"/>
      <c r="P302" s="148">
        <v>0</v>
      </c>
      <c r="Q302" s="197"/>
      <c r="R302" s="198"/>
      <c r="S302" s="199"/>
    </row>
    <row r="303" spans="1:16384" s="209" customFormat="1" ht="42.75" customHeight="1" x14ac:dyDescent="0.25">
      <c r="A303" s="162"/>
      <c r="B303" s="162"/>
      <c r="C303" s="178" t="s">
        <v>45</v>
      </c>
      <c r="D303" s="162"/>
      <c r="E303" s="162">
        <v>9.24</v>
      </c>
      <c r="F303" s="94">
        <v>0</v>
      </c>
      <c r="G303" s="94">
        <v>0</v>
      </c>
      <c r="H303" s="94">
        <v>0</v>
      </c>
      <c r="I303" s="94"/>
      <c r="J303" s="94"/>
      <c r="K303" s="94"/>
      <c r="L303" s="162"/>
      <c r="M303" s="162"/>
      <c r="N303" s="162"/>
      <c r="O303" s="162"/>
      <c r="P303" s="162"/>
      <c r="Q303" s="162"/>
      <c r="R303" s="162"/>
      <c r="S303" s="162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  <c r="EC303" s="208"/>
      <c r="ED303" s="208"/>
      <c r="EE303" s="208"/>
      <c r="EF303" s="208"/>
      <c r="EG303" s="208"/>
      <c r="EH303" s="208"/>
      <c r="EI303" s="208"/>
      <c r="EJ303" s="208"/>
      <c r="EK303" s="208"/>
      <c r="EL303" s="208"/>
      <c r="EM303" s="208"/>
      <c r="EN303" s="208"/>
      <c r="EO303" s="208"/>
      <c r="EP303" s="208"/>
      <c r="EQ303" s="208"/>
      <c r="ER303" s="208"/>
      <c r="ES303" s="208"/>
      <c r="ET303" s="208"/>
      <c r="EU303" s="208"/>
      <c r="EV303" s="208"/>
      <c r="EW303" s="208"/>
      <c r="EX303" s="208"/>
      <c r="EY303" s="208"/>
      <c r="EZ303" s="208"/>
      <c r="FA303" s="208"/>
      <c r="FB303" s="208"/>
      <c r="FC303" s="208"/>
      <c r="FD303" s="208"/>
      <c r="FE303" s="208"/>
      <c r="FF303" s="208"/>
      <c r="FG303" s="208"/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8"/>
      <c r="FS303" s="208"/>
      <c r="FT303" s="208"/>
      <c r="FU303" s="208"/>
      <c r="FV303" s="208"/>
      <c r="FW303" s="208"/>
      <c r="FX303" s="208"/>
      <c r="FY303" s="208"/>
      <c r="FZ303" s="208"/>
      <c r="GA303" s="208"/>
      <c r="GB303" s="208"/>
      <c r="GC303" s="208"/>
      <c r="GD303" s="208"/>
      <c r="GE303" s="208"/>
      <c r="GF303" s="208"/>
      <c r="GG303" s="208"/>
      <c r="GH303" s="208"/>
      <c r="GI303" s="208"/>
      <c r="GJ303" s="208"/>
      <c r="GK303" s="208"/>
      <c r="GL303" s="208"/>
      <c r="GM303" s="208"/>
      <c r="GN303" s="208"/>
      <c r="GO303" s="208"/>
      <c r="GP303" s="208"/>
      <c r="GQ303" s="208"/>
      <c r="GR303" s="208"/>
      <c r="GS303" s="208"/>
      <c r="GT303" s="208"/>
      <c r="GU303" s="208"/>
      <c r="GV303" s="208"/>
      <c r="GW303" s="208"/>
      <c r="GX303" s="208"/>
      <c r="GY303" s="208"/>
      <c r="GZ303" s="208"/>
      <c r="HA303" s="208"/>
      <c r="HB303" s="208"/>
      <c r="HC303" s="208"/>
      <c r="HD303" s="208"/>
      <c r="HE303" s="208"/>
      <c r="HF303" s="208"/>
      <c r="HG303" s="208"/>
      <c r="HH303" s="208"/>
      <c r="HI303" s="208"/>
      <c r="HJ303" s="208"/>
      <c r="HK303" s="208"/>
      <c r="HL303" s="208"/>
      <c r="HM303" s="208"/>
      <c r="HN303" s="208"/>
      <c r="HO303" s="208"/>
      <c r="HP303" s="208"/>
      <c r="HQ303" s="208"/>
      <c r="HR303" s="208"/>
      <c r="HS303" s="208"/>
      <c r="HT303" s="208"/>
      <c r="HU303" s="208"/>
      <c r="HV303" s="208"/>
      <c r="HW303" s="208"/>
      <c r="HX303" s="208"/>
      <c r="HY303" s="208"/>
      <c r="HZ303" s="208"/>
      <c r="IA303" s="208"/>
      <c r="IB303" s="208"/>
      <c r="IC303" s="208"/>
      <c r="ID303" s="208"/>
      <c r="IE303" s="208"/>
      <c r="IF303" s="208"/>
      <c r="IG303" s="208"/>
      <c r="IH303" s="208"/>
      <c r="II303" s="208"/>
      <c r="IJ303" s="208"/>
      <c r="IK303" s="208"/>
      <c r="IL303" s="208"/>
      <c r="IM303" s="208"/>
      <c r="IN303" s="208"/>
      <c r="IO303" s="208"/>
      <c r="IP303" s="208"/>
      <c r="IQ303" s="208"/>
      <c r="IR303" s="208"/>
      <c r="IS303" s="208"/>
      <c r="IT303" s="208"/>
      <c r="IU303" s="208"/>
      <c r="IV303" s="208"/>
      <c r="IW303" s="208"/>
      <c r="IX303" s="208"/>
      <c r="IY303" s="208"/>
      <c r="IZ303" s="208"/>
      <c r="JA303" s="208"/>
      <c r="JB303" s="208"/>
      <c r="JC303" s="208"/>
      <c r="JD303" s="208"/>
      <c r="JE303" s="208"/>
      <c r="JF303" s="208"/>
      <c r="JG303" s="208"/>
      <c r="JH303" s="208"/>
      <c r="JI303" s="208"/>
      <c r="JJ303" s="208"/>
      <c r="JK303" s="208"/>
      <c r="JL303" s="208"/>
      <c r="JM303" s="208"/>
      <c r="JN303" s="208"/>
      <c r="JO303" s="208"/>
      <c r="JP303" s="208"/>
      <c r="JQ303" s="208"/>
      <c r="JR303" s="208"/>
      <c r="JS303" s="208"/>
      <c r="JT303" s="208"/>
      <c r="JU303" s="208"/>
      <c r="JV303" s="208"/>
      <c r="JW303" s="208"/>
      <c r="JX303" s="208"/>
      <c r="JY303" s="208"/>
      <c r="JZ303" s="208"/>
      <c r="KA303" s="208"/>
      <c r="KB303" s="208"/>
      <c r="KC303" s="208"/>
      <c r="KD303" s="208"/>
      <c r="KE303" s="208"/>
      <c r="KF303" s="208"/>
      <c r="KG303" s="208"/>
      <c r="KH303" s="208"/>
      <c r="KI303" s="208"/>
      <c r="KJ303" s="208"/>
      <c r="KK303" s="208"/>
      <c r="KL303" s="208"/>
      <c r="KM303" s="208"/>
      <c r="KN303" s="208"/>
      <c r="KO303" s="208"/>
      <c r="KP303" s="208"/>
      <c r="KQ303" s="208"/>
      <c r="KR303" s="208"/>
      <c r="KS303" s="208"/>
      <c r="KT303" s="208"/>
      <c r="KU303" s="208"/>
      <c r="KV303" s="208"/>
      <c r="KW303" s="208"/>
      <c r="KX303" s="208"/>
      <c r="KY303" s="208"/>
      <c r="KZ303" s="208"/>
      <c r="LA303" s="208"/>
      <c r="LB303" s="208"/>
      <c r="LC303" s="208"/>
      <c r="LD303" s="208"/>
      <c r="LE303" s="208"/>
      <c r="LF303" s="208"/>
      <c r="LG303" s="208"/>
      <c r="LH303" s="208"/>
      <c r="LI303" s="208"/>
      <c r="LJ303" s="208"/>
      <c r="LK303" s="208"/>
      <c r="LL303" s="208"/>
      <c r="LM303" s="208"/>
      <c r="LN303" s="208"/>
      <c r="LO303" s="208"/>
      <c r="LP303" s="208"/>
      <c r="LQ303" s="208"/>
      <c r="LR303" s="208"/>
      <c r="LS303" s="208"/>
      <c r="LT303" s="208"/>
      <c r="LU303" s="208"/>
      <c r="LV303" s="208"/>
      <c r="LW303" s="208"/>
      <c r="LX303" s="208"/>
      <c r="LY303" s="208"/>
      <c r="LZ303" s="208"/>
      <c r="MA303" s="208"/>
      <c r="MB303" s="208"/>
      <c r="MC303" s="208"/>
      <c r="MD303" s="208"/>
      <c r="ME303" s="208"/>
      <c r="MF303" s="208"/>
      <c r="MG303" s="208"/>
      <c r="MH303" s="208"/>
      <c r="MI303" s="208"/>
      <c r="MJ303" s="208"/>
      <c r="MK303" s="208"/>
      <c r="ML303" s="208"/>
      <c r="MM303" s="208"/>
      <c r="MN303" s="208"/>
      <c r="MO303" s="208"/>
      <c r="MP303" s="208"/>
      <c r="MQ303" s="208"/>
      <c r="MR303" s="208"/>
      <c r="MS303" s="208"/>
      <c r="MT303" s="208"/>
      <c r="MU303" s="208"/>
      <c r="MV303" s="208"/>
      <c r="MW303" s="208"/>
      <c r="MX303" s="208"/>
      <c r="MY303" s="208"/>
      <c r="MZ303" s="208"/>
      <c r="NA303" s="208"/>
      <c r="NB303" s="208"/>
      <c r="NC303" s="208"/>
      <c r="ND303" s="208"/>
      <c r="NE303" s="208"/>
      <c r="NF303" s="208"/>
      <c r="NG303" s="208"/>
      <c r="NH303" s="208"/>
      <c r="NI303" s="208"/>
      <c r="NJ303" s="208"/>
      <c r="NK303" s="208"/>
      <c r="NL303" s="208"/>
      <c r="NM303" s="208"/>
      <c r="NN303" s="208"/>
      <c r="NO303" s="208"/>
      <c r="NP303" s="208"/>
      <c r="NQ303" s="208"/>
      <c r="NR303" s="208"/>
      <c r="NS303" s="208"/>
      <c r="NT303" s="208"/>
      <c r="NU303" s="208"/>
      <c r="NV303" s="208"/>
      <c r="NW303" s="208"/>
      <c r="NX303" s="208"/>
      <c r="NY303" s="208"/>
      <c r="NZ303" s="208"/>
      <c r="OA303" s="208"/>
      <c r="OB303" s="208"/>
      <c r="OC303" s="208"/>
      <c r="OD303" s="208"/>
      <c r="OE303" s="208"/>
      <c r="OF303" s="208"/>
      <c r="OG303" s="208"/>
      <c r="OH303" s="208"/>
      <c r="OI303" s="208"/>
      <c r="OJ303" s="208"/>
      <c r="OK303" s="208"/>
      <c r="OL303" s="208"/>
      <c r="OM303" s="208"/>
      <c r="ON303" s="208"/>
      <c r="OO303" s="208"/>
      <c r="OP303" s="208"/>
      <c r="OQ303" s="208"/>
      <c r="OR303" s="208"/>
      <c r="OS303" s="208"/>
      <c r="OT303" s="208"/>
      <c r="OU303" s="208"/>
      <c r="OV303" s="208"/>
      <c r="OW303" s="208"/>
      <c r="OX303" s="208"/>
      <c r="OY303" s="208"/>
      <c r="OZ303" s="208"/>
      <c r="PA303" s="208"/>
      <c r="PB303" s="208"/>
      <c r="PC303" s="208"/>
      <c r="PD303" s="208"/>
      <c r="PE303" s="208"/>
      <c r="PF303" s="208"/>
      <c r="PG303" s="208"/>
      <c r="PH303" s="208"/>
      <c r="PI303" s="208"/>
      <c r="PJ303" s="208"/>
      <c r="PK303" s="208"/>
      <c r="PL303" s="208"/>
      <c r="PM303" s="208"/>
      <c r="PN303" s="208"/>
      <c r="PO303" s="208"/>
      <c r="PP303" s="208"/>
      <c r="PQ303" s="208"/>
      <c r="PR303" s="208"/>
      <c r="PS303" s="208"/>
      <c r="PT303" s="208"/>
      <c r="PU303" s="208"/>
      <c r="PV303" s="208"/>
      <c r="PW303" s="208"/>
      <c r="PX303" s="208"/>
      <c r="PY303" s="208"/>
      <c r="PZ303" s="208"/>
      <c r="QA303" s="208"/>
      <c r="QB303" s="208"/>
      <c r="QC303" s="208"/>
      <c r="QD303" s="208"/>
      <c r="QE303" s="208"/>
      <c r="QF303" s="208"/>
      <c r="QG303" s="208"/>
      <c r="QH303" s="208"/>
      <c r="QI303" s="208"/>
      <c r="QJ303" s="208"/>
      <c r="QK303" s="208"/>
      <c r="QL303" s="208"/>
      <c r="QM303" s="208"/>
      <c r="QN303" s="208"/>
      <c r="QO303" s="208"/>
      <c r="QP303" s="208"/>
      <c r="QQ303" s="208"/>
      <c r="QR303" s="208"/>
      <c r="QS303" s="208"/>
      <c r="QT303" s="208"/>
      <c r="QU303" s="208"/>
      <c r="QV303" s="208"/>
      <c r="QW303" s="208"/>
      <c r="QX303" s="208"/>
      <c r="QY303" s="208"/>
      <c r="QZ303" s="208"/>
      <c r="RA303" s="208"/>
      <c r="RB303" s="208"/>
      <c r="RC303" s="208"/>
      <c r="RD303" s="208"/>
      <c r="RE303" s="208"/>
      <c r="RF303" s="208"/>
      <c r="RG303" s="208"/>
      <c r="RH303" s="208"/>
      <c r="RI303" s="208"/>
      <c r="RJ303" s="208"/>
      <c r="RK303" s="208"/>
      <c r="RL303" s="208"/>
      <c r="RM303" s="208"/>
      <c r="RN303" s="208"/>
      <c r="RO303" s="208"/>
      <c r="RP303" s="208"/>
      <c r="RQ303" s="208"/>
      <c r="RR303" s="208"/>
      <c r="RS303" s="208"/>
      <c r="RT303" s="208"/>
      <c r="RU303" s="208"/>
      <c r="RV303" s="208"/>
      <c r="RW303" s="208"/>
      <c r="RX303" s="208"/>
      <c r="RY303" s="208"/>
      <c r="RZ303" s="208"/>
      <c r="SA303" s="208"/>
      <c r="SB303" s="208"/>
      <c r="SC303" s="208"/>
      <c r="SD303" s="208"/>
      <c r="SE303" s="208"/>
      <c r="SF303" s="208"/>
      <c r="SG303" s="208"/>
      <c r="SH303" s="208"/>
      <c r="SI303" s="208"/>
      <c r="SJ303" s="208"/>
      <c r="SK303" s="208"/>
      <c r="SL303" s="208"/>
      <c r="SM303" s="208"/>
      <c r="SN303" s="208"/>
      <c r="SO303" s="208"/>
      <c r="SP303" s="208"/>
      <c r="SQ303" s="208"/>
      <c r="SR303" s="208"/>
      <c r="SS303" s="208"/>
      <c r="ST303" s="208"/>
      <c r="SU303" s="208"/>
      <c r="SV303" s="208"/>
      <c r="SW303" s="208"/>
      <c r="SX303" s="208"/>
      <c r="SY303" s="208"/>
      <c r="SZ303" s="208"/>
      <c r="TA303" s="208"/>
      <c r="TB303" s="208"/>
      <c r="TC303" s="208"/>
      <c r="TD303" s="208"/>
      <c r="TE303" s="208"/>
      <c r="TF303" s="208"/>
      <c r="TG303" s="208"/>
      <c r="TH303" s="208"/>
      <c r="TI303" s="208"/>
      <c r="TJ303" s="208"/>
      <c r="TK303" s="208"/>
      <c r="TL303" s="208"/>
      <c r="TM303" s="208"/>
      <c r="TN303" s="208"/>
      <c r="TO303" s="208"/>
      <c r="TP303" s="208"/>
      <c r="TQ303" s="208"/>
      <c r="TR303" s="208"/>
      <c r="TS303" s="208"/>
      <c r="TT303" s="208"/>
      <c r="TU303" s="208"/>
      <c r="TV303" s="208"/>
      <c r="TW303" s="208"/>
      <c r="TX303" s="208"/>
      <c r="TY303" s="208"/>
      <c r="TZ303" s="208"/>
      <c r="UA303" s="208"/>
      <c r="UB303" s="208"/>
      <c r="UC303" s="208"/>
      <c r="UD303" s="208"/>
      <c r="UE303" s="208"/>
      <c r="UF303" s="208"/>
      <c r="UG303" s="208"/>
      <c r="UH303" s="208"/>
      <c r="UI303" s="208"/>
      <c r="UJ303" s="208"/>
      <c r="UK303" s="208"/>
      <c r="UL303" s="208"/>
      <c r="UM303" s="208"/>
      <c r="UN303" s="208"/>
      <c r="UO303" s="208"/>
      <c r="UP303" s="208"/>
      <c r="UQ303" s="208"/>
      <c r="UR303" s="208"/>
      <c r="US303" s="208"/>
      <c r="UT303" s="208"/>
      <c r="UU303" s="208"/>
      <c r="UV303" s="208"/>
      <c r="UW303" s="208"/>
      <c r="UX303" s="208"/>
      <c r="UY303" s="208"/>
      <c r="UZ303" s="208"/>
      <c r="VA303" s="208"/>
      <c r="VB303" s="208"/>
      <c r="VC303" s="208"/>
      <c r="VD303" s="208"/>
      <c r="VE303" s="208"/>
      <c r="VF303" s="208"/>
      <c r="VG303" s="208"/>
      <c r="VH303" s="208"/>
      <c r="VI303" s="208"/>
      <c r="VJ303" s="208"/>
      <c r="VK303" s="208"/>
      <c r="VL303" s="208"/>
      <c r="VM303" s="208"/>
      <c r="VN303" s="208"/>
      <c r="VO303" s="208"/>
      <c r="VP303" s="208"/>
      <c r="VQ303" s="208"/>
      <c r="VR303" s="208"/>
      <c r="VS303" s="208"/>
      <c r="VT303" s="208"/>
      <c r="VU303" s="208"/>
      <c r="VV303" s="208"/>
      <c r="VW303" s="208"/>
      <c r="VX303" s="208"/>
      <c r="VY303" s="208"/>
      <c r="VZ303" s="208"/>
      <c r="WA303" s="208"/>
      <c r="WB303" s="208"/>
      <c r="WC303" s="208"/>
      <c r="WD303" s="208"/>
      <c r="WE303" s="208"/>
      <c r="WF303" s="208"/>
      <c r="WG303" s="208"/>
      <c r="WH303" s="208"/>
      <c r="WI303" s="208"/>
      <c r="WJ303" s="208"/>
      <c r="WK303" s="208"/>
      <c r="WL303" s="208"/>
      <c r="WM303" s="208"/>
      <c r="WN303" s="208"/>
      <c r="WO303" s="208"/>
      <c r="WP303" s="208"/>
      <c r="WQ303" s="208"/>
      <c r="WR303" s="208"/>
      <c r="WS303" s="208"/>
      <c r="WT303" s="208"/>
      <c r="WU303" s="208"/>
      <c r="WV303" s="208"/>
      <c r="WW303" s="208"/>
      <c r="WX303" s="208"/>
      <c r="WY303" s="208"/>
      <c r="WZ303" s="208"/>
      <c r="XA303" s="208"/>
      <c r="XB303" s="208"/>
      <c r="XC303" s="208"/>
      <c r="XD303" s="208"/>
      <c r="XE303" s="208"/>
      <c r="XF303" s="208"/>
      <c r="XG303" s="208"/>
      <c r="XH303" s="208"/>
      <c r="XI303" s="208"/>
      <c r="XJ303" s="208"/>
      <c r="XK303" s="208"/>
      <c r="XL303" s="208"/>
      <c r="XM303" s="208"/>
      <c r="XN303" s="208"/>
      <c r="XO303" s="208"/>
      <c r="XP303" s="208"/>
      <c r="XQ303" s="208"/>
      <c r="XR303" s="208"/>
      <c r="XS303" s="208"/>
      <c r="XT303" s="208"/>
      <c r="XU303" s="208"/>
      <c r="XV303" s="208"/>
      <c r="XW303" s="208"/>
      <c r="XX303" s="208"/>
      <c r="XY303" s="208"/>
      <c r="XZ303" s="208"/>
      <c r="YA303" s="208"/>
      <c r="YB303" s="208"/>
      <c r="YC303" s="208"/>
      <c r="YD303" s="208"/>
      <c r="YE303" s="208"/>
      <c r="YF303" s="208"/>
      <c r="YG303" s="208"/>
      <c r="YH303" s="208"/>
      <c r="YI303" s="208"/>
      <c r="YJ303" s="208"/>
      <c r="YK303" s="208"/>
      <c r="YL303" s="208"/>
      <c r="YM303" s="208"/>
      <c r="YN303" s="208"/>
      <c r="YO303" s="208"/>
      <c r="YP303" s="208"/>
      <c r="YQ303" s="208"/>
      <c r="YR303" s="208"/>
      <c r="YS303" s="208"/>
      <c r="YT303" s="208"/>
      <c r="YU303" s="208"/>
      <c r="YV303" s="208"/>
      <c r="YW303" s="208"/>
      <c r="YX303" s="208"/>
      <c r="YY303" s="208"/>
      <c r="YZ303" s="208"/>
      <c r="ZA303" s="208"/>
      <c r="ZB303" s="208"/>
      <c r="ZC303" s="208"/>
      <c r="ZD303" s="208"/>
      <c r="ZE303" s="208"/>
      <c r="ZF303" s="208"/>
      <c r="ZG303" s="208"/>
      <c r="ZH303" s="208"/>
      <c r="ZI303" s="208"/>
      <c r="ZJ303" s="208"/>
      <c r="ZK303" s="208"/>
      <c r="ZL303" s="208"/>
      <c r="ZM303" s="208"/>
      <c r="ZN303" s="208"/>
      <c r="ZO303" s="208"/>
      <c r="ZP303" s="208"/>
      <c r="ZQ303" s="208"/>
      <c r="ZR303" s="208"/>
      <c r="ZS303" s="208"/>
      <c r="ZT303" s="208"/>
      <c r="ZU303" s="208"/>
      <c r="ZV303" s="208"/>
      <c r="ZW303" s="208"/>
      <c r="ZX303" s="208"/>
      <c r="ZY303" s="208"/>
      <c r="ZZ303" s="208"/>
      <c r="AAA303" s="208"/>
      <c r="AAB303" s="208"/>
      <c r="AAC303" s="208"/>
      <c r="AAD303" s="208"/>
      <c r="AAE303" s="208"/>
      <c r="AAF303" s="208"/>
      <c r="AAG303" s="208"/>
      <c r="AAH303" s="208"/>
      <c r="AAI303" s="208"/>
      <c r="AAJ303" s="208"/>
      <c r="AAK303" s="208"/>
      <c r="AAL303" s="208"/>
      <c r="AAM303" s="208"/>
      <c r="AAN303" s="208"/>
      <c r="AAO303" s="208"/>
      <c r="AAP303" s="208"/>
      <c r="AAQ303" s="208"/>
      <c r="AAR303" s="208"/>
      <c r="AAS303" s="208"/>
      <c r="AAT303" s="208"/>
      <c r="AAU303" s="208"/>
      <c r="AAV303" s="208"/>
      <c r="AAW303" s="208"/>
      <c r="AAX303" s="208"/>
      <c r="AAY303" s="208"/>
      <c r="AAZ303" s="208"/>
      <c r="ABA303" s="208"/>
      <c r="ABB303" s="208"/>
      <c r="ABC303" s="208"/>
      <c r="ABD303" s="208"/>
      <c r="ABE303" s="208"/>
      <c r="ABF303" s="208"/>
      <c r="ABG303" s="208"/>
      <c r="ABH303" s="208"/>
      <c r="ABI303" s="208"/>
      <c r="ABJ303" s="208"/>
      <c r="ABK303" s="208"/>
      <c r="ABL303" s="208"/>
      <c r="ABM303" s="208"/>
      <c r="ABN303" s="208"/>
      <c r="ABO303" s="208"/>
      <c r="ABP303" s="208"/>
      <c r="ABQ303" s="208"/>
      <c r="ABR303" s="208"/>
      <c r="ABS303" s="208"/>
      <c r="ABT303" s="208"/>
      <c r="ABU303" s="208"/>
      <c r="ABV303" s="208"/>
      <c r="ABW303" s="208"/>
      <c r="ABX303" s="208"/>
      <c r="ABY303" s="208"/>
      <c r="ABZ303" s="208"/>
      <c r="ACA303" s="208"/>
      <c r="ACB303" s="208"/>
      <c r="ACC303" s="208"/>
      <c r="ACD303" s="208"/>
      <c r="ACE303" s="208"/>
      <c r="ACF303" s="208"/>
      <c r="ACG303" s="208"/>
      <c r="ACH303" s="208"/>
      <c r="ACI303" s="208"/>
      <c r="ACJ303" s="208"/>
      <c r="ACK303" s="208"/>
      <c r="ACL303" s="208"/>
      <c r="ACM303" s="208"/>
      <c r="ACN303" s="208"/>
      <c r="ACO303" s="208"/>
      <c r="ACP303" s="208"/>
      <c r="ACQ303" s="208"/>
      <c r="ACR303" s="208"/>
      <c r="ACS303" s="208"/>
      <c r="ACT303" s="208"/>
      <c r="ACU303" s="208"/>
      <c r="ACV303" s="208"/>
      <c r="ACW303" s="208"/>
      <c r="ACX303" s="208"/>
      <c r="ACY303" s="208"/>
      <c r="ACZ303" s="208"/>
      <c r="ADA303" s="208"/>
      <c r="ADB303" s="208"/>
      <c r="ADC303" s="208"/>
      <c r="ADD303" s="208"/>
      <c r="ADE303" s="208"/>
      <c r="ADF303" s="208"/>
      <c r="ADG303" s="208"/>
      <c r="ADH303" s="208"/>
      <c r="ADI303" s="208"/>
      <c r="ADJ303" s="208"/>
      <c r="ADK303" s="208"/>
      <c r="ADL303" s="208"/>
      <c r="ADM303" s="208"/>
      <c r="ADN303" s="208"/>
      <c r="ADO303" s="208"/>
      <c r="ADP303" s="208"/>
      <c r="ADQ303" s="208"/>
      <c r="ADR303" s="208"/>
      <c r="ADS303" s="208"/>
      <c r="ADT303" s="208"/>
      <c r="ADU303" s="208"/>
      <c r="ADV303" s="208"/>
      <c r="ADW303" s="208"/>
      <c r="ADX303" s="208"/>
      <c r="ADY303" s="208"/>
      <c r="ADZ303" s="208"/>
      <c r="AEA303" s="208"/>
      <c r="AEB303" s="208"/>
      <c r="AEC303" s="208"/>
      <c r="AED303" s="208"/>
      <c r="AEE303" s="208"/>
      <c r="AEF303" s="208"/>
      <c r="AEG303" s="208"/>
      <c r="AEH303" s="208"/>
      <c r="AEI303" s="208"/>
      <c r="AEJ303" s="208"/>
      <c r="AEK303" s="208"/>
      <c r="AEL303" s="208"/>
      <c r="AEM303" s="208"/>
      <c r="AEN303" s="208"/>
      <c r="AEO303" s="208"/>
      <c r="AEP303" s="208"/>
      <c r="AEQ303" s="208"/>
      <c r="AER303" s="208"/>
      <c r="AES303" s="208"/>
      <c r="AET303" s="208"/>
      <c r="AEU303" s="208"/>
      <c r="AEV303" s="208"/>
      <c r="AEW303" s="208"/>
      <c r="AEX303" s="208"/>
      <c r="AEY303" s="208"/>
      <c r="AEZ303" s="208"/>
      <c r="AFA303" s="208"/>
      <c r="AFB303" s="208"/>
      <c r="AFC303" s="208"/>
      <c r="AFD303" s="208"/>
      <c r="AFE303" s="208"/>
      <c r="AFF303" s="208"/>
      <c r="AFG303" s="208"/>
      <c r="AFH303" s="208"/>
      <c r="AFI303" s="208"/>
      <c r="AFJ303" s="208"/>
      <c r="AFK303" s="208"/>
      <c r="AFL303" s="208"/>
      <c r="AFM303" s="208"/>
      <c r="AFN303" s="208"/>
      <c r="AFO303" s="208"/>
      <c r="AFP303" s="208"/>
      <c r="AFQ303" s="208"/>
      <c r="AFR303" s="208"/>
      <c r="AFS303" s="208"/>
      <c r="AFT303" s="208"/>
      <c r="AFU303" s="208"/>
      <c r="AFV303" s="208"/>
      <c r="AFW303" s="208"/>
      <c r="AFX303" s="208"/>
      <c r="AFY303" s="208"/>
      <c r="AFZ303" s="208"/>
      <c r="AGA303" s="208"/>
      <c r="AGB303" s="208"/>
      <c r="AGC303" s="208"/>
      <c r="AGD303" s="208"/>
      <c r="AGE303" s="208"/>
      <c r="AGF303" s="208"/>
      <c r="AGG303" s="208"/>
      <c r="AGH303" s="208"/>
      <c r="AGI303" s="208"/>
      <c r="AGJ303" s="208"/>
      <c r="AGK303" s="208"/>
      <c r="AGL303" s="208"/>
      <c r="AGM303" s="208"/>
      <c r="AGN303" s="208"/>
      <c r="AGO303" s="208"/>
      <c r="AGP303" s="208"/>
      <c r="AGQ303" s="208"/>
      <c r="AGR303" s="208"/>
      <c r="AGS303" s="208"/>
      <c r="AGT303" s="208"/>
      <c r="AGU303" s="208"/>
      <c r="AGV303" s="208"/>
      <c r="AGW303" s="208"/>
      <c r="AGX303" s="208"/>
      <c r="AGY303" s="208"/>
      <c r="AGZ303" s="208"/>
      <c r="AHA303" s="208"/>
      <c r="AHB303" s="208"/>
      <c r="AHC303" s="208"/>
      <c r="AHD303" s="208"/>
      <c r="AHE303" s="208"/>
      <c r="AHF303" s="208"/>
      <c r="AHG303" s="208"/>
      <c r="AHH303" s="208"/>
      <c r="AHI303" s="208"/>
      <c r="AHJ303" s="208"/>
      <c r="AHK303" s="208"/>
      <c r="AHL303" s="208"/>
      <c r="AHM303" s="208"/>
      <c r="AHN303" s="208"/>
      <c r="AHO303" s="208"/>
      <c r="AHP303" s="208"/>
      <c r="AHQ303" s="208"/>
      <c r="AHR303" s="208"/>
      <c r="AHS303" s="208"/>
      <c r="AHT303" s="208"/>
      <c r="AHU303" s="208"/>
      <c r="AHV303" s="208"/>
      <c r="AHW303" s="208"/>
      <c r="AHX303" s="208"/>
      <c r="AHY303" s="208"/>
      <c r="AHZ303" s="208"/>
      <c r="AIA303" s="208"/>
      <c r="AIB303" s="208"/>
      <c r="AIC303" s="208"/>
      <c r="AID303" s="208"/>
      <c r="AIE303" s="208"/>
      <c r="AIF303" s="208"/>
      <c r="AIG303" s="208"/>
      <c r="AIH303" s="208"/>
      <c r="AII303" s="208"/>
      <c r="AIJ303" s="208"/>
      <c r="AIK303" s="208"/>
      <c r="AIL303" s="208"/>
      <c r="AIM303" s="208"/>
      <c r="AIN303" s="208"/>
      <c r="AIO303" s="208"/>
      <c r="AIP303" s="208"/>
      <c r="AIQ303" s="208"/>
      <c r="AIR303" s="208"/>
      <c r="AIS303" s="208"/>
      <c r="AIT303" s="208"/>
      <c r="AIU303" s="208"/>
      <c r="AIV303" s="208"/>
      <c r="AIW303" s="208"/>
      <c r="AIX303" s="208"/>
      <c r="AIY303" s="208"/>
      <c r="AIZ303" s="208"/>
      <c r="AJA303" s="208"/>
      <c r="AJB303" s="208"/>
      <c r="AJC303" s="208"/>
      <c r="AJD303" s="208"/>
      <c r="AJE303" s="208"/>
      <c r="AJF303" s="208"/>
      <c r="AJG303" s="208"/>
      <c r="AJH303" s="208"/>
      <c r="AJI303" s="208"/>
      <c r="AJJ303" s="208"/>
      <c r="AJK303" s="208"/>
      <c r="AJL303" s="208"/>
      <c r="AJM303" s="208"/>
      <c r="AJN303" s="208"/>
      <c r="AJO303" s="208"/>
      <c r="AJP303" s="208"/>
      <c r="AJQ303" s="208"/>
      <c r="AJR303" s="208"/>
      <c r="AJS303" s="208"/>
      <c r="AJT303" s="208"/>
      <c r="AJU303" s="208"/>
      <c r="AJV303" s="208"/>
      <c r="AJW303" s="208"/>
      <c r="AJX303" s="208"/>
      <c r="AJY303" s="208"/>
      <c r="AJZ303" s="208"/>
      <c r="AKA303" s="208"/>
      <c r="AKB303" s="208"/>
      <c r="AKC303" s="208"/>
      <c r="AKD303" s="208"/>
      <c r="AKE303" s="208"/>
      <c r="AKF303" s="208"/>
      <c r="AKG303" s="208"/>
      <c r="AKH303" s="208"/>
      <c r="AKI303" s="208"/>
      <c r="AKJ303" s="208"/>
      <c r="AKK303" s="208"/>
      <c r="AKL303" s="208"/>
      <c r="AKM303" s="208"/>
      <c r="AKN303" s="208"/>
      <c r="AKO303" s="208"/>
      <c r="AKP303" s="208"/>
      <c r="AKQ303" s="208"/>
      <c r="AKR303" s="208"/>
      <c r="AKS303" s="208"/>
      <c r="AKT303" s="208"/>
      <c r="AKU303" s="208"/>
      <c r="AKV303" s="208"/>
      <c r="AKW303" s="208"/>
      <c r="AKX303" s="208"/>
      <c r="AKY303" s="208"/>
      <c r="AKZ303" s="208"/>
      <c r="ALA303" s="208"/>
      <c r="ALB303" s="208"/>
      <c r="ALC303" s="208"/>
      <c r="ALD303" s="208"/>
      <c r="ALE303" s="208"/>
      <c r="ALF303" s="208"/>
      <c r="ALG303" s="208"/>
      <c r="ALH303" s="208"/>
      <c r="ALI303" s="208"/>
      <c r="ALJ303" s="208"/>
      <c r="ALK303" s="208"/>
      <c r="ALL303" s="208"/>
      <c r="ALM303" s="208"/>
      <c r="ALN303" s="208"/>
      <c r="ALO303" s="208"/>
      <c r="ALP303" s="208"/>
      <c r="ALQ303" s="208"/>
      <c r="ALR303" s="208"/>
      <c r="ALS303" s="208"/>
      <c r="ALT303" s="208"/>
      <c r="ALU303" s="208"/>
      <c r="ALV303" s="208"/>
      <c r="ALW303" s="208"/>
      <c r="ALX303" s="208"/>
      <c r="ALY303" s="208"/>
      <c r="ALZ303" s="208"/>
      <c r="AMA303" s="208"/>
      <c r="AMB303" s="208"/>
      <c r="AMC303" s="208"/>
      <c r="AMD303" s="208"/>
      <c r="AME303" s="208"/>
      <c r="AMF303" s="208"/>
      <c r="AMG303" s="208"/>
      <c r="AMH303" s="208"/>
      <c r="AMI303" s="208"/>
      <c r="AMJ303" s="208"/>
      <c r="AMK303" s="208"/>
      <c r="AML303" s="208"/>
      <c r="AMM303" s="208"/>
      <c r="AMN303" s="208"/>
      <c r="AMO303" s="208"/>
      <c r="AMP303" s="208"/>
      <c r="AMQ303" s="208"/>
      <c r="AMR303" s="208"/>
      <c r="AMS303" s="208"/>
      <c r="AMT303" s="208"/>
      <c r="AMU303" s="208"/>
      <c r="AMV303" s="208"/>
      <c r="AMW303" s="208"/>
      <c r="AMX303" s="208"/>
      <c r="AMY303" s="208"/>
      <c r="AMZ303" s="208"/>
      <c r="ANA303" s="208"/>
      <c r="ANB303" s="208"/>
      <c r="ANC303" s="208"/>
      <c r="AND303" s="208"/>
      <c r="ANE303" s="208"/>
      <c r="ANF303" s="208"/>
      <c r="ANG303" s="208"/>
      <c r="ANH303" s="208"/>
      <c r="ANI303" s="208"/>
      <c r="ANJ303" s="208"/>
      <c r="ANK303" s="208"/>
      <c r="ANL303" s="208"/>
      <c r="ANM303" s="208"/>
      <c r="ANN303" s="208"/>
      <c r="ANO303" s="208"/>
      <c r="ANP303" s="208"/>
      <c r="ANQ303" s="208"/>
      <c r="ANR303" s="208"/>
      <c r="ANS303" s="208"/>
      <c r="ANT303" s="208"/>
      <c r="ANU303" s="208"/>
      <c r="ANV303" s="208"/>
      <c r="ANW303" s="208"/>
      <c r="ANX303" s="208"/>
      <c r="ANY303" s="208"/>
      <c r="ANZ303" s="208"/>
      <c r="AOA303" s="208"/>
      <c r="AOB303" s="208"/>
      <c r="AOC303" s="208"/>
      <c r="AOD303" s="208"/>
      <c r="AOE303" s="208"/>
      <c r="AOF303" s="208"/>
      <c r="AOG303" s="208"/>
      <c r="AOH303" s="208"/>
      <c r="AOI303" s="208"/>
      <c r="AOJ303" s="208"/>
      <c r="AOK303" s="208"/>
      <c r="AOL303" s="208"/>
      <c r="AOM303" s="208"/>
      <c r="AON303" s="208"/>
      <c r="AOO303" s="208"/>
      <c r="AOP303" s="208"/>
      <c r="AOQ303" s="208"/>
      <c r="AOR303" s="208"/>
      <c r="AOS303" s="208"/>
      <c r="AOT303" s="208"/>
      <c r="AOU303" s="208"/>
      <c r="AOV303" s="208"/>
      <c r="AOW303" s="208"/>
      <c r="AOX303" s="208"/>
      <c r="AOY303" s="208"/>
      <c r="AOZ303" s="208"/>
      <c r="APA303" s="208"/>
      <c r="APB303" s="208"/>
      <c r="APC303" s="208"/>
      <c r="APD303" s="208"/>
      <c r="APE303" s="208"/>
      <c r="APF303" s="208"/>
      <c r="APG303" s="208"/>
      <c r="APH303" s="208"/>
      <c r="API303" s="208"/>
      <c r="APJ303" s="208"/>
      <c r="APK303" s="208"/>
      <c r="APL303" s="208"/>
      <c r="APM303" s="208"/>
      <c r="APN303" s="208"/>
      <c r="APO303" s="208"/>
      <c r="APP303" s="208"/>
      <c r="APQ303" s="208"/>
      <c r="APR303" s="208"/>
      <c r="APS303" s="208"/>
      <c r="APT303" s="208"/>
      <c r="APU303" s="208"/>
      <c r="APV303" s="208"/>
      <c r="APW303" s="208"/>
      <c r="APX303" s="208"/>
      <c r="APY303" s="208"/>
      <c r="APZ303" s="208"/>
      <c r="AQA303" s="208"/>
      <c r="AQB303" s="208"/>
      <c r="AQC303" s="208"/>
      <c r="AQD303" s="208"/>
      <c r="AQE303" s="208"/>
      <c r="AQF303" s="208"/>
      <c r="AQG303" s="208"/>
      <c r="AQH303" s="208"/>
      <c r="AQI303" s="208"/>
      <c r="AQJ303" s="208"/>
      <c r="AQK303" s="208"/>
      <c r="AQL303" s="208"/>
      <c r="AQM303" s="208"/>
      <c r="AQN303" s="208"/>
      <c r="AQO303" s="208"/>
      <c r="AQP303" s="208"/>
      <c r="AQQ303" s="208"/>
      <c r="AQR303" s="208"/>
      <c r="AQS303" s="208"/>
      <c r="AQT303" s="208"/>
      <c r="AQU303" s="208"/>
      <c r="AQV303" s="208"/>
      <c r="AQW303" s="208"/>
      <c r="AQX303" s="208"/>
      <c r="AQY303" s="208"/>
      <c r="AQZ303" s="208"/>
      <c r="ARA303" s="208"/>
      <c r="ARB303" s="208"/>
      <c r="ARC303" s="208"/>
      <c r="ARD303" s="208"/>
      <c r="ARE303" s="208"/>
      <c r="ARF303" s="208"/>
      <c r="ARG303" s="208"/>
      <c r="ARH303" s="208"/>
      <c r="ARI303" s="208"/>
      <c r="ARJ303" s="208"/>
      <c r="ARK303" s="208"/>
      <c r="ARL303" s="208"/>
      <c r="ARM303" s="208"/>
      <c r="ARN303" s="208"/>
      <c r="ARO303" s="208"/>
      <c r="ARP303" s="208"/>
      <c r="ARQ303" s="208"/>
      <c r="ARR303" s="208"/>
      <c r="ARS303" s="208"/>
      <c r="ART303" s="208"/>
      <c r="ARU303" s="208"/>
      <c r="ARV303" s="208"/>
      <c r="ARW303" s="208"/>
      <c r="ARX303" s="208"/>
      <c r="ARY303" s="208"/>
      <c r="ARZ303" s="208"/>
      <c r="ASA303" s="208"/>
      <c r="ASB303" s="208"/>
      <c r="ASC303" s="208"/>
      <c r="ASD303" s="208"/>
      <c r="ASE303" s="208"/>
      <c r="ASF303" s="208"/>
      <c r="ASG303" s="208"/>
      <c r="ASH303" s="208"/>
      <c r="ASI303" s="208"/>
      <c r="ASJ303" s="208"/>
      <c r="ASK303" s="208"/>
      <c r="ASL303" s="208"/>
      <c r="ASM303" s="208"/>
      <c r="ASN303" s="208"/>
      <c r="ASO303" s="208"/>
      <c r="ASP303" s="208"/>
      <c r="ASQ303" s="208"/>
      <c r="ASR303" s="208"/>
      <c r="ASS303" s="208"/>
      <c r="AST303" s="208"/>
      <c r="ASU303" s="208"/>
      <c r="ASV303" s="208"/>
      <c r="ASW303" s="208"/>
      <c r="ASX303" s="208"/>
      <c r="ASY303" s="208"/>
      <c r="ASZ303" s="208"/>
      <c r="ATA303" s="208"/>
      <c r="ATB303" s="208"/>
      <c r="ATC303" s="208"/>
      <c r="ATD303" s="208"/>
      <c r="ATE303" s="208"/>
      <c r="ATF303" s="208"/>
      <c r="ATG303" s="208"/>
      <c r="ATH303" s="208"/>
      <c r="ATI303" s="208"/>
      <c r="ATJ303" s="208"/>
      <c r="ATK303" s="208"/>
      <c r="ATL303" s="208"/>
      <c r="ATM303" s="208"/>
      <c r="ATN303" s="208"/>
      <c r="ATO303" s="208"/>
      <c r="ATP303" s="208"/>
      <c r="ATQ303" s="208"/>
      <c r="ATR303" s="208"/>
      <c r="ATS303" s="208"/>
      <c r="ATT303" s="208"/>
      <c r="ATU303" s="208"/>
      <c r="ATV303" s="208"/>
      <c r="ATW303" s="208"/>
      <c r="ATX303" s="208"/>
      <c r="ATY303" s="208"/>
      <c r="ATZ303" s="208"/>
      <c r="AUA303" s="208"/>
      <c r="AUB303" s="208"/>
      <c r="AUC303" s="208"/>
      <c r="AUD303" s="208"/>
      <c r="AUE303" s="208"/>
      <c r="AUF303" s="208"/>
      <c r="AUG303" s="208"/>
      <c r="AUH303" s="208"/>
      <c r="AUI303" s="208"/>
      <c r="AUJ303" s="208"/>
      <c r="AUK303" s="208"/>
      <c r="AUL303" s="208"/>
      <c r="AUM303" s="208"/>
      <c r="AUN303" s="208"/>
      <c r="AUO303" s="208"/>
      <c r="AUP303" s="208"/>
      <c r="AUQ303" s="208"/>
      <c r="AUR303" s="208"/>
      <c r="AUS303" s="208"/>
      <c r="AUT303" s="208"/>
      <c r="AUU303" s="208"/>
      <c r="AUV303" s="208"/>
      <c r="AUW303" s="208"/>
      <c r="AUX303" s="208"/>
      <c r="AUY303" s="208"/>
      <c r="AUZ303" s="208"/>
      <c r="AVA303" s="208"/>
      <c r="AVB303" s="208"/>
      <c r="AVC303" s="208"/>
      <c r="AVD303" s="208"/>
      <c r="AVE303" s="208"/>
      <c r="AVF303" s="208"/>
      <c r="AVG303" s="208"/>
      <c r="AVH303" s="208"/>
      <c r="AVI303" s="208"/>
      <c r="AVJ303" s="208"/>
      <c r="AVK303" s="208"/>
      <c r="AVL303" s="208"/>
      <c r="AVM303" s="208"/>
      <c r="AVN303" s="208"/>
      <c r="AVO303" s="208"/>
      <c r="AVP303" s="208"/>
      <c r="AVQ303" s="208"/>
      <c r="AVR303" s="208"/>
      <c r="AVS303" s="208"/>
      <c r="AVT303" s="208"/>
      <c r="AVU303" s="208"/>
      <c r="AVV303" s="208"/>
      <c r="AVW303" s="208"/>
      <c r="AVX303" s="208"/>
      <c r="AVY303" s="208"/>
      <c r="AVZ303" s="208"/>
      <c r="AWA303" s="208"/>
      <c r="AWB303" s="208"/>
      <c r="AWC303" s="208"/>
      <c r="AWD303" s="208"/>
      <c r="AWE303" s="208"/>
      <c r="AWF303" s="208"/>
      <c r="AWG303" s="208"/>
      <c r="AWH303" s="208"/>
      <c r="AWI303" s="208"/>
      <c r="AWJ303" s="208"/>
      <c r="AWK303" s="208"/>
      <c r="AWL303" s="208"/>
      <c r="AWM303" s="208"/>
      <c r="AWN303" s="208"/>
      <c r="AWO303" s="208"/>
      <c r="AWP303" s="208"/>
      <c r="AWQ303" s="208"/>
      <c r="AWR303" s="208"/>
      <c r="AWS303" s="208"/>
      <c r="AWT303" s="208"/>
      <c r="AWU303" s="208"/>
      <c r="AWV303" s="208"/>
      <c r="AWW303" s="208"/>
      <c r="AWX303" s="208"/>
      <c r="AWY303" s="208"/>
      <c r="AWZ303" s="208"/>
      <c r="AXA303" s="208"/>
      <c r="AXB303" s="208"/>
      <c r="AXC303" s="208"/>
      <c r="AXD303" s="208"/>
      <c r="AXE303" s="208"/>
      <c r="AXF303" s="208"/>
      <c r="AXG303" s="208"/>
      <c r="AXH303" s="208"/>
      <c r="AXI303" s="208"/>
      <c r="AXJ303" s="208"/>
      <c r="AXK303" s="208"/>
      <c r="AXL303" s="208"/>
      <c r="AXM303" s="208"/>
      <c r="AXN303" s="208"/>
      <c r="AXO303" s="208"/>
      <c r="AXP303" s="208"/>
      <c r="AXQ303" s="208"/>
      <c r="AXR303" s="208"/>
      <c r="AXS303" s="208"/>
      <c r="AXT303" s="208"/>
      <c r="AXU303" s="208"/>
      <c r="AXV303" s="208"/>
      <c r="AXW303" s="208"/>
      <c r="AXX303" s="208"/>
      <c r="AXY303" s="208"/>
      <c r="AXZ303" s="208"/>
      <c r="AYA303" s="208"/>
      <c r="AYB303" s="208"/>
      <c r="AYC303" s="208"/>
      <c r="AYD303" s="208"/>
      <c r="AYE303" s="208"/>
      <c r="AYF303" s="208"/>
      <c r="AYG303" s="208"/>
      <c r="AYH303" s="208"/>
      <c r="AYI303" s="208"/>
      <c r="AYJ303" s="208"/>
      <c r="AYK303" s="208"/>
      <c r="AYL303" s="208"/>
      <c r="AYM303" s="208"/>
      <c r="AYN303" s="208"/>
      <c r="AYO303" s="208"/>
      <c r="AYP303" s="208"/>
      <c r="AYQ303" s="208"/>
      <c r="AYR303" s="208"/>
      <c r="AYS303" s="208"/>
      <c r="AYT303" s="208"/>
      <c r="AYU303" s="208"/>
      <c r="AYV303" s="208"/>
      <c r="AYW303" s="208"/>
      <c r="AYX303" s="208"/>
      <c r="AYY303" s="208"/>
      <c r="AYZ303" s="208"/>
      <c r="AZA303" s="208"/>
      <c r="AZB303" s="208"/>
      <c r="AZC303" s="208"/>
      <c r="AZD303" s="208"/>
      <c r="AZE303" s="208"/>
      <c r="AZF303" s="208"/>
      <c r="AZG303" s="208"/>
      <c r="AZH303" s="208"/>
      <c r="AZI303" s="208"/>
      <c r="AZJ303" s="208"/>
      <c r="AZK303" s="208"/>
      <c r="AZL303" s="208"/>
      <c r="AZM303" s="208"/>
      <c r="AZN303" s="208"/>
      <c r="AZO303" s="208"/>
      <c r="AZP303" s="208"/>
      <c r="AZQ303" s="208"/>
      <c r="AZR303" s="208"/>
      <c r="AZS303" s="208"/>
      <c r="AZT303" s="208"/>
      <c r="AZU303" s="208"/>
      <c r="AZV303" s="208"/>
      <c r="AZW303" s="208"/>
      <c r="AZX303" s="208"/>
      <c r="AZY303" s="208"/>
      <c r="AZZ303" s="208"/>
      <c r="BAA303" s="208"/>
      <c r="BAB303" s="208"/>
      <c r="BAC303" s="208"/>
      <c r="BAD303" s="208"/>
      <c r="BAE303" s="208"/>
      <c r="BAF303" s="208"/>
      <c r="BAG303" s="208"/>
      <c r="BAH303" s="208"/>
      <c r="BAI303" s="208"/>
      <c r="BAJ303" s="208"/>
      <c r="BAK303" s="208"/>
      <c r="BAL303" s="208"/>
      <c r="BAM303" s="208"/>
      <c r="BAN303" s="208"/>
      <c r="BAO303" s="208"/>
      <c r="BAP303" s="208"/>
      <c r="BAQ303" s="208"/>
      <c r="BAR303" s="208"/>
      <c r="BAS303" s="208"/>
      <c r="BAT303" s="208"/>
      <c r="BAU303" s="208"/>
      <c r="BAV303" s="208"/>
      <c r="BAW303" s="208"/>
      <c r="BAX303" s="208"/>
      <c r="BAY303" s="208"/>
      <c r="BAZ303" s="208"/>
      <c r="BBA303" s="208"/>
      <c r="BBB303" s="208"/>
      <c r="BBC303" s="208"/>
      <c r="BBD303" s="208"/>
      <c r="BBE303" s="208"/>
      <c r="BBF303" s="208"/>
      <c r="BBG303" s="208"/>
      <c r="BBH303" s="208"/>
      <c r="BBI303" s="208"/>
      <c r="BBJ303" s="208"/>
      <c r="BBK303" s="208"/>
      <c r="BBL303" s="208"/>
      <c r="BBM303" s="208"/>
      <c r="BBN303" s="208"/>
      <c r="BBO303" s="208"/>
      <c r="BBP303" s="208"/>
      <c r="BBQ303" s="208"/>
      <c r="BBR303" s="208"/>
      <c r="BBS303" s="208"/>
      <c r="BBT303" s="208"/>
      <c r="BBU303" s="208"/>
      <c r="BBV303" s="208"/>
      <c r="BBW303" s="208"/>
      <c r="BBX303" s="208"/>
      <c r="BBY303" s="208"/>
      <c r="BBZ303" s="208"/>
      <c r="BCA303" s="208"/>
      <c r="BCB303" s="208"/>
      <c r="BCC303" s="208"/>
      <c r="BCD303" s="208"/>
      <c r="BCE303" s="208"/>
      <c r="BCF303" s="208"/>
      <c r="BCG303" s="208"/>
      <c r="BCH303" s="208"/>
      <c r="BCI303" s="208"/>
      <c r="BCJ303" s="208"/>
      <c r="BCK303" s="208"/>
      <c r="BCL303" s="208"/>
      <c r="BCM303" s="208"/>
      <c r="BCN303" s="208"/>
      <c r="BCO303" s="208"/>
      <c r="BCP303" s="208"/>
      <c r="BCQ303" s="208"/>
      <c r="BCR303" s="208"/>
      <c r="BCS303" s="208"/>
      <c r="BCT303" s="208"/>
      <c r="BCU303" s="208"/>
      <c r="BCV303" s="208"/>
      <c r="BCW303" s="208"/>
      <c r="BCX303" s="208"/>
      <c r="BCY303" s="208"/>
      <c r="BCZ303" s="208"/>
      <c r="BDA303" s="208"/>
      <c r="BDB303" s="208"/>
      <c r="BDC303" s="208"/>
      <c r="BDD303" s="208"/>
      <c r="BDE303" s="208"/>
      <c r="BDF303" s="208"/>
      <c r="BDG303" s="208"/>
      <c r="BDH303" s="208"/>
      <c r="BDI303" s="208"/>
      <c r="BDJ303" s="208"/>
      <c r="BDK303" s="208"/>
      <c r="BDL303" s="208"/>
      <c r="BDM303" s="208"/>
      <c r="BDN303" s="208"/>
      <c r="BDO303" s="208"/>
      <c r="BDP303" s="208"/>
      <c r="BDQ303" s="208"/>
      <c r="BDR303" s="208"/>
      <c r="BDS303" s="208"/>
      <c r="BDT303" s="208"/>
      <c r="BDU303" s="208"/>
      <c r="BDV303" s="208"/>
      <c r="BDW303" s="208"/>
      <c r="BDX303" s="208"/>
      <c r="BDY303" s="208"/>
      <c r="BDZ303" s="208"/>
      <c r="BEA303" s="208"/>
      <c r="BEB303" s="208"/>
      <c r="BEC303" s="208"/>
      <c r="BED303" s="208"/>
      <c r="BEE303" s="208"/>
      <c r="BEF303" s="208"/>
      <c r="BEG303" s="208"/>
      <c r="BEH303" s="208"/>
      <c r="BEI303" s="208"/>
      <c r="BEJ303" s="208"/>
      <c r="BEK303" s="208"/>
      <c r="BEL303" s="208"/>
      <c r="BEM303" s="208"/>
      <c r="BEN303" s="208"/>
      <c r="BEO303" s="208"/>
      <c r="BEP303" s="208"/>
      <c r="BEQ303" s="208"/>
      <c r="BER303" s="208"/>
      <c r="BES303" s="208"/>
      <c r="BET303" s="208"/>
      <c r="BEU303" s="208"/>
      <c r="BEV303" s="208"/>
      <c r="BEW303" s="208"/>
      <c r="BEX303" s="208"/>
      <c r="BEY303" s="208"/>
      <c r="BEZ303" s="208"/>
      <c r="BFA303" s="208"/>
      <c r="BFB303" s="208"/>
      <c r="BFC303" s="208"/>
      <c r="BFD303" s="208"/>
      <c r="BFE303" s="208"/>
      <c r="BFF303" s="208"/>
      <c r="BFG303" s="208"/>
      <c r="BFH303" s="208"/>
      <c r="BFI303" s="208"/>
      <c r="BFJ303" s="208"/>
      <c r="BFK303" s="208"/>
      <c r="BFL303" s="208"/>
      <c r="BFM303" s="208"/>
      <c r="BFN303" s="208"/>
      <c r="BFO303" s="208"/>
      <c r="BFP303" s="208"/>
      <c r="BFQ303" s="208"/>
      <c r="BFR303" s="208"/>
      <c r="BFS303" s="208"/>
      <c r="BFT303" s="208"/>
      <c r="BFU303" s="208"/>
      <c r="BFV303" s="208"/>
      <c r="BFW303" s="208"/>
      <c r="BFX303" s="208"/>
      <c r="BFY303" s="208"/>
      <c r="BFZ303" s="208"/>
      <c r="BGA303" s="208"/>
      <c r="BGB303" s="208"/>
      <c r="BGC303" s="208"/>
      <c r="BGD303" s="208"/>
      <c r="BGE303" s="208"/>
      <c r="BGF303" s="208"/>
      <c r="BGG303" s="208"/>
      <c r="BGH303" s="208"/>
      <c r="BGI303" s="208"/>
      <c r="BGJ303" s="208"/>
      <c r="BGK303" s="208"/>
      <c r="BGL303" s="208"/>
      <c r="BGM303" s="208"/>
      <c r="BGN303" s="208"/>
      <c r="BGO303" s="208"/>
      <c r="BGP303" s="208"/>
      <c r="BGQ303" s="208"/>
      <c r="BGR303" s="208"/>
      <c r="BGS303" s="208"/>
      <c r="BGT303" s="208"/>
      <c r="BGU303" s="208"/>
      <c r="BGV303" s="208"/>
      <c r="BGW303" s="208"/>
      <c r="BGX303" s="208"/>
      <c r="BGY303" s="208"/>
      <c r="BGZ303" s="208"/>
      <c r="BHA303" s="208"/>
      <c r="BHB303" s="208"/>
      <c r="BHC303" s="208"/>
      <c r="BHD303" s="208"/>
      <c r="BHE303" s="208"/>
      <c r="BHF303" s="208"/>
      <c r="BHG303" s="208"/>
      <c r="BHH303" s="208"/>
      <c r="BHI303" s="208"/>
      <c r="BHJ303" s="208"/>
      <c r="BHK303" s="208"/>
      <c r="BHL303" s="208"/>
      <c r="BHM303" s="208"/>
      <c r="BHN303" s="208"/>
      <c r="BHO303" s="208"/>
      <c r="BHP303" s="208"/>
      <c r="BHQ303" s="208"/>
      <c r="BHR303" s="208"/>
      <c r="BHS303" s="208"/>
      <c r="BHT303" s="208"/>
      <c r="BHU303" s="208"/>
      <c r="BHV303" s="208"/>
      <c r="BHW303" s="208"/>
      <c r="BHX303" s="208"/>
      <c r="BHY303" s="208"/>
      <c r="BHZ303" s="208"/>
      <c r="BIA303" s="208"/>
      <c r="BIB303" s="208"/>
      <c r="BIC303" s="208"/>
      <c r="BID303" s="208"/>
      <c r="BIE303" s="208"/>
      <c r="BIF303" s="208"/>
      <c r="BIG303" s="208"/>
      <c r="BIH303" s="208"/>
      <c r="BII303" s="208"/>
      <c r="BIJ303" s="208"/>
      <c r="BIK303" s="208"/>
      <c r="BIL303" s="208"/>
      <c r="BIM303" s="208"/>
      <c r="BIN303" s="208"/>
      <c r="BIO303" s="208"/>
      <c r="BIP303" s="208"/>
      <c r="BIQ303" s="208"/>
      <c r="BIR303" s="208"/>
      <c r="BIS303" s="208"/>
      <c r="BIT303" s="208"/>
      <c r="BIU303" s="208"/>
      <c r="BIV303" s="208"/>
      <c r="BIW303" s="208"/>
      <c r="BIX303" s="208"/>
      <c r="BIY303" s="208"/>
      <c r="BIZ303" s="208"/>
      <c r="BJA303" s="208"/>
      <c r="BJB303" s="208"/>
      <c r="BJC303" s="208"/>
      <c r="BJD303" s="208"/>
      <c r="BJE303" s="208"/>
      <c r="BJF303" s="208"/>
      <c r="BJG303" s="208"/>
      <c r="BJH303" s="208"/>
      <c r="BJI303" s="208"/>
      <c r="BJJ303" s="208"/>
      <c r="BJK303" s="208"/>
      <c r="BJL303" s="208"/>
      <c r="BJM303" s="208"/>
      <c r="BJN303" s="208"/>
      <c r="BJO303" s="208"/>
      <c r="BJP303" s="208"/>
      <c r="BJQ303" s="208"/>
      <c r="BJR303" s="208"/>
      <c r="BJS303" s="208"/>
      <c r="BJT303" s="208"/>
      <c r="BJU303" s="208"/>
      <c r="BJV303" s="208"/>
      <c r="BJW303" s="208"/>
      <c r="BJX303" s="208"/>
      <c r="BJY303" s="208"/>
      <c r="BJZ303" s="208"/>
      <c r="BKA303" s="208"/>
      <c r="BKB303" s="208"/>
      <c r="BKC303" s="208"/>
      <c r="BKD303" s="208"/>
      <c r="BKE303" s="208"/>
      <c r="BKF303" s="208"/>
      <c r="BKG303" s="208"/>
      <c r="BKH303" s="208"/>
      <c r="BKI303" s="208"/>
      <c r="BKJ303" s="208"/>
      <c r="BKK303" s="208"/>
      <c r="BKL303" s="208"/>
      <c r="BKM303" s="208"/>
      <c r="BKN303" s="208"/>
      <c r="BKO303" s="208"/>
      <c r="BKP303" s="208"/>
      <c r="BKQ303" s="208"/>
      <c r="BKR303" s="208"/>
      <c r="BKS303" s="208"/>
      <c r="BKT303" s="208"/>
      <c r="BKU303" s="208"/>
      <c r="BKV303" s="208"/>
      <c r="BKW303" s="208"/>
      <c r="BKX303" s="208"/>
      <c r="BKY303" s="208"/>
      <c r="BKZ303" s="208"/>
      <c r="BLA303" s="208"/>
      <c r="BLB303" s="208"/>
      <c r="BLC303" s="208"/>
      <c r="BLD303" s="208"/>
      <c r="BLE303" s="208"/>
      <c r="BLF303" s="208"/>
      <c r="BLG303" s="208"/>
      <c r="BLH303" s="208"/>
      <c r="BLI303" s="208"/>
      <c r="BLJ303" s="208"/>
      <c r="BLK303" s="208"/>
      <c r="BLL303" s="208"/>
      <c r="BLM303" s="208"/>
      <c r="BLN303" s="208"/>
      <c r="BLO303" s="208"/>
      <c r="BLP303" s="208"/>
      <c r="BLQ303" s="208"/>
      <c r="BLR303" s="208"/>
      <c r="BLS303" s="208"/>
      <c r="BLT303" s="208"/>
      <c r="BLU303" s="208"/>
      <c r="BLV303" s="208"/>
      <c r="BLW303" s="208"/>
      <c r="BLX303" s="208"/>
      <c r="BLY303" s="208"/>
      <c r="BLZ303" s="208"/>
      <c r="BMA303" s="208"/>
      <c r="BMB303" s="208"/>
      <c r="BMC303" s="208"/>
      <c r="BMD303" s="208"/>
      <c r="BME303" s="208"/>
      <c r="BMF303" s="208"/>
      <c r="BMG303" s="208"/>
      <c r="BMH303" s="208"/>
      <c r="BMI303" s="208"/>
      <c r="BMJ303" s="208"/>
      <c r="BMK303" s="208"/>
      <c r="BML303" s="208"/>
      <c r="BMM303" s="208"/>
      <c r="BMN303" s="208"/>
      <c r="BMO303" s="208"/>
      <c r="BMP303" s="208"/>
      <c r="BMQ303" s="208"/>
      <c r="BMR303" s="208"/>
      <c r="BMS303" s="208"/>
      <c r="BMT303" s="208"/>
      <c r="BMU303" s="208"/>
      <c r="BMV303" s="208"/>
      <c r="BMW303" s="208"/>
      <c r="BMX303" s="208"/>
      <c r="BMY303" s="208"/>
      <c r="BMZ303" s="208"/>
      <c r="BNA303" s="208"/>
      <c r="BNB303" s="208"/>
      <c r="BNC303" s="208"/>
      <c r="BND303" s="208"/>
      <c r="BNE303" s="208"/>
      <c r="BNF303" s="208"/>
      <c r="BNG303" s="208"/>
      <c r="BNH303" s="208"/>
      <c r="BNI303" s="208"/>
      <c r="BNJ303" s="208"/>
      <c r="BNK303" s="208"/>
      <c r="BNL303" s="208"/>
      <c r="BNM303" s="208"/>
      <c r="BNN303" s="208"/>
      <c r="BNO303" s="208"/>
      <c r="BNP303" s="208"/>
      <c r="BNQ303" s="208"/>
      <c r="BNR303" s="208"/>
      <c r="BNS303" s="208"/>
      <c r="BNT303" s="208"/>
      <c r="BNU303" s="208"/>
      <c r="BNV303" s="208"/>
      <c r="BNW303" s="208"/>
      <c r="BNX303" s="208"/>
      <c r="BNY303" s="208"/>
      <c r="BNZ303" s="208"/>
      <c r="BOA303" s="208"/>
      <c r="BOB303" s="208"/>
      <c r="BOC303" s="208"/>
      <c r="BOD303" s="208"/>
      <c r="BOE303" s="208"/>
      <c r="BOF303" s="208"/>
      <c r="BOG303" s="208"/>
      <c r="BOH303" s="208"/>
      <c r="BOI303" s="208"/>
      <c r="BOJ303" s="208"/>
      <c r="BOK303" s="208"/>
      <c r="BOL303" s="208"/>
      <c r="BOM303" s="208"/>
      <c r="BON303" s="208"/>
      <c r="BOO303" s="208"/>
      <c r="BOP303" s="208"/>
      <c r="BOQ303" s="208"/>
      <c r="BOR303" s="208"/>
      <c r="BOS303" s="208"/>
      <c r="BOT303" s="208"/>
      <c r="BOU303" s="208"/>
      <c r="BOV303" s="208"/>
      <c r="BOW303" s="208"/>
      <c r="BOX303" s="208"/>
      <c r="BOY303" s="208"/>
      <c r="BOZ303" s="208"/>
      <c r="BPA303" s="208"/>
      <c r="BPB303" s="208"/>
      <c r="BPC303" s="208"/>
      <c r="BPD303" s="208"/>
      <c r="BPE303" s="208"/>
      <c r="BPF303" s="208"/>
      <c r="BPG303" s="208"/>
      <c r="BPH303" s="208"/>
      <c r="BPI303" s="208"/>
      <c r="BPJ303" s="208"/>
      <c r="BPK303" s="208"/>
      <c r="BPL303" s="208"/>
      <c r="BPM303" s="208"/>
      <c r="BPN303" s="208"/>
      <c r="BPO303" s="208"/>
      <c r="BPP303" s="208"/>
      <c r="BPQ303" s="208"/>
      <c r="BPR303" s="208"/>
      <c r="BPS303" s="208"/>
      <c r="BPT303" s="208"/>
      <c r="BPU303" s="208"/>
      <c r="BPV303" s="208"/>
      <c r="BPW303" s="208"/>
      <c r="BPX303" s="208"/>
      <c r="BPY303" s="208"/>
      <c r="BPZ303" s="208"/>
      <c r="BQA303" s="208"/>
      <c r="BQB303" s="208"/>
      <c r="BQC303" s="208"/>
      <c r="BQD303" s="208"/>
      <c r="BQE303" s="208"/>
      <c r="BQF303" s="208"/>
      <c r="BQG303" s="208"/>
      <c r="BQH303" s="208"/>
      <c r="BQI303" s="208"/>
      <c r="BQJ303" s="208"/>
      <c r="BQK303" s="208"/>
      <c r="BQL303" s="208"/>
      <c r="BQM303" s="208"/>
      <c r="BQN303" s="208"/>
      <c r="BQO303" s="208"/>
      <c r="BQP303" s="208"/>
      <c r="BQQ303" s="208"/>
      <c r="BQR303" s="208"/>
      <c r="BQS303" s="208"/>
      <c r="BQT303" s="208"/>
      <c r="BQU303" s="208"/>
      <c r="BQV303" s="208"/>
      <c r="BQW303" s="208"/>
      <c r="BQX303" s="208"/>
      <c r="BQY303" s="208"/>
      <c r="BQZ303" s="208"/>
      <c r="BRA303" s="208"/>
      <c r="BRB303" s="208"/>
      <c r="BRC303" s="208"/>
      <c r="BRD303" s="208"/>
      <c r="BRE303" s="208"/>
      <c r="BRF303" s="208"/>
      <c r="BRG303" s="208"/>
      <c r="BRH303" s="208"/>
      <c r="BRI303" s="208"/>
      <c r="BRJ303" s="208"/>
      <c r="BRK303" s="208"/>
      <c r="BRL303" s="208"/>
      <c r="BRM303" s="208"/>
      <c r="BRN303" s="208"/>
      <c r="BRO303" s="208"/>
      <c r="BRP303" s="208"/>
      <c r="BRQ303" s="208"/>
      <c r="BRR303" s="208"/>
      <c r="BRS303" s="208"/>
      <c r="BRT303" s="208"/>
      <c r="BRU303" s="208"/>
      <c r="BRV303" s="208"/>
      <c r="BRW303" s="208"/>
      <c r="BRX303" s="208"/>
      <c r="BRY303" s="208"/>
      <c r="BRZ303" s="208"/>
      <c r="BSA303" s="208"/>
      <c r="BSB303" s="208"/>
      <c r="BSC303" s="208"/>
      <c r="BSD303" s="208"/>
      <c r="BSE303" s="208"/>
      <c r="BSF303" s="208"/>
      <c r="BSG303" s="208"/>
      <c r="BSH303" s="208"/>
      <c r="BSI303" s="208"/>
      <c r="BSJ303" s="208"/>
      <c r="BSK303" s="208"/>
      <c r="BSL303" s="208"/>
      <c r="BSM303" s="208"/>
      <c r="BSN303" s="208"/>
      <c r="BSO303" s="208"/>
      <c r="BSP303" s="208"/>
      <c r="BSQ303" s="208"/>
      <c r="BSR303" s="208"/>
      <c r="BSS303" s="208"/>
      <c r="BST303" s="208"/>
      <c r="BSU303" s="208"/>
      <c r="BSV303" s="208"/>
      <c r="BSW303" s="208"/>
      <c r="BSX303" s="208"/>
      <c r="BSY303" s="208"/>
      <c r="BSZ303" s="208"/>
      <c r="BTA303" s="208"/>
      <c r="BTB303" s="208"/>
      <c r="BTC303" s="208"/>
      <c r="BTD303" s="208"/>
      <c r="BTE303" s="208"/>
      <c r="BTF303" s="208"/>
      <c r="BTG303" s="208"/>
      <c r="BTH303" s="208"/>
      <c r="BTI303" s="208"/>
      <c r="BTJ303" s="208"/>
      <c r="BTK303" s="208"/>
      <c r="BTL303" s="208"/>
      <c r="BTM303" s="208"/>
      <c r="BTN303" s="208"/>
      <c r="BTO303" s="208"/>
      <c r="BTP303" s="208"/>
      <c r="BTQ303" s="208"/>
      <c r="BTR303" s="208"/>
      <c r="BTS303" s="208"/>
      <c r="BTT303" s="208"/>
      <c r="BTU303" s="208"/>
      <c r="BTV303" s="208"/>
      <c r="BTW303" s="208"/>
      <c r="BTX303" s="208"/>
      <c r="BTY303" s="208"/>
      <c r="BTZ303" s="208"/>
      <c r="BUA303" s="208"/>
      <c r="BUB303" s="208"/>
      <c r="BUC303" s="208"/>
      <c r="BUD303" s="208"/>
      <c r="BUE303" s="208"/>
      <c r="BUF303" s="208"/>
      <c r="BUG303" s="208"/>
      <c r="BUH303" s="208"/>
      <c r="BUI303" s="208"/>
      <c r="BUJ303" s="208"/>
      <c r="BUK303" s="208"/>
      <c r="BUL303" s="208"/>
      <c r="BUM303" s="208"/>
      <c r="BUN303" s="208"/>
      <c r="BUO303" s="208"/>
      <c r="BUP303" s="208"/>
      <c r="BUQ303" s="208"/>
      <c r="BUR303" s="208"/>
      <c r="BUS303" s="208"/>
      <c r="BUT303" s="208"/>
      <c r="BUU303" s="208"/>
      <c r="BUV303" s="208"/>
      <c r="BUW303" s="208"/>
      <c r="BUX303" s="208"/>
      <c r="BUY303" s="208"/>
      <c r="BUZ303" s="208"/>
      <c r="BVA303" s="208"/>
      <c r="BVB303" s="208"/>
      <c r="BVC303" s="208"/>
      <c r="BVD303" s="208"/>
      <c r="BVE303" s="208"/>
      <c r="BVF303" s="208"/>
      <c r="BVG303" s="208"/>
      <c r="BVH303" s="208"/>
      <c r="BVI303" s="208"/>
      <c r="BVJ303" s="208"/>
      <c r="BVK303" s="208"/>
      <c r="BVL303" s="208"/>
      <c r="BVM303" s="208"/>
      <c r="BVN303" s="208"/>
      <c r="BVO303" s="208"/>
      <c r="BVP303" s="208"/>
      <c r="BVQ303" s="208"/>
      <c r="BVR303" s="208"/>
      <c r="BVS303" s="208"/>
      <c r="BVT303" s="208"/>
      <c r="BVU303" s="208"/>
      <c r="BVV303" s="208"/>
      <c r="BVW303" s="208"/>
      <c r="BVX303" s="208"/>
      <c r="BVY303" s="208"/>
      <c r="BVZ303" s="208"/>
      <c r="BWA303" s="208"/>
      <c r="BWB303" s="208"/>
      <c r="BWC303" s="208"/>
      <c r="BWD303" s="208"/>
      <c r="BWE303" s="208"/>
      <c r="BWF303" s="208"/>
      <c r="BWG303" s="208"/>
      <c r="BWH303" s="208"/>
      <c r="BWI303" s="208"/>
      <c r="BWJ303" s="208"/>
      <c r="BWK303" s="208"/>
      <c r="BWL303" s="208"/>
      <c r="BWM303" s="208"/>
      <c r="BWN303" s="208"/>
      <c r="BWO303" s="208"/>
      <c r="BWP303" s="208"/>
      <c r="BWQ303" s="208"/>
      <c r="BWR303" s="208"/>
      <c r="BWS303" s="208"/>
      <c r="BWT303" s="208"/>
      <c r="BWU303" s="208"/>
      <c r="BWV303" s="208"/>
      <c r="BWW303" s="208"/>
      <c r="BWX303" s="208"/>
      <c r="BWY303" s="208"/>
      <c r="BWZ303" s="208"/>
      <c r="BXA303" s="208"/>
      <c r="BXB303" s="208"/>
      <c r="BXC303" s="208"/>
      <c r="BXD303" s="208"/>
      <c r="BXE303" s="208"/>
      <c r="BXF303" s="208"/>
      <c r="BXG303" s="208"/>
      <c r="BXH303" s="208"/>
      <c r="BXI303" s="208"/>
      <c r="BXJ303" s="208"/>
      <c r="BXK303" s="208"/>
      <c r="BXL303" s="208"/>
      <c r="BXM303" s="208"/>
      <c r="BXN303" s="208"/>
      <c r="BXO303" s="208"/>
      <c r="BXP303" s="208"/>
      <c r="BXQ303" s="208"/>
      <c r="BXR303" s="208"/>
      <c r="BXS303" s="208"/>
      <c r="BXT303" s="208"/>
      <c r="BXU303" s="208"/>
      <c r="BXV303" s="208"/>
      <c r="BXW303" s="208"/>
      <c r="BXX303" s="208"/>
      <c r="BXY303" s="208"/>
      <c r="BXZ303" s="208"/>
      <c r="BYA303" s="208"/>
      <c r="BYB303" s="208"/>
      <c r="BYC303" s="208"/>
      <c r="BYD303" s="208"/>
      <c r="BYE303" s="208"/>
      <c r="BYF303" s="208"/>
      <c r="BYG303" s="208"/>
      <c r="BYH303" s="208"/>
      <c r="BYI303" s="208"/>
      <c r="BYJ303" s="208"/>
      <c r="BYK303" s="208"/>
      <c r="BYL303" s="208"/>
      <c r="BYM303" s="208"/>
      <c r="BYN303" s="208"/>
      <c r="BYO303" s="208"/>
      <c r="BYP303" s="208"/>
      <c r="BYQ303" s="208"/>
      <c r="BYR303" s="208"/>
      <c r="BYS303" s="208"/>
      <c r="BYT303" s="208"/>
      <c r="BYU303" s="208"/>
      <c r="BYV303" s="208"/>
      <c r="BYW303" s="208"/>
      <c r="BYX303" s="208"/>
      <c r="BYY303" s="208"/>
      <c r="BYZ303" s="208"/>
      <c r="BZA303" s="208"/>
      <c r="BZB303" s="208"/>
      <c r="BZC303" s="208"/>
      <c r="BZD303" s="208"/>
      <c r="BZE303" s="208"/>
      <c r="BZF303" s="208"/>
      <c r="BZG303" s="208"/>
      <c r="BZH303" s="208"/>
      <c r="BZI303" s="208"/>
      <c r="BZJ303" s="208"/>
      <c r="BZK303" s="208"/>
      <c r="BZL303" s="208"/>
      <c r="BZM303" s="208"/>
      <c r="BZN303" s="208"/>
      <c r="BZO303" s="208"/>
      <c r="BZP303" s="208"/>
      <c r="BZQ303" s="208"/>
      <c r="BZR303" s="208"/>
      <c r="BZS303" s="208"/>
      <c r="BZT303" s="208"/>
      <c r="BZU303" s="208"/>
      <c r="BZV303" s="208"/>
      <c r="BZW303" s="208"/>
      <c r="BZX303" s="208"/>
      <c r="BZY303" s="208"/>
      <c r="BZZ303" s="208"/>
      <c r="CAA303" s="208"/>
      <c r="CAB303" s="208"/>
      <c r="CAC303" s="208"/>
      <c r="CAD303" s="208"/>
      <c r="CAE303" s="208"/>
      <c r="CAF303" s="208"/>
      <c r="CAG303" s="208"/>
      <c r="CAH303" s="208"/>
      <c r="CAI303" s="208"/>
      <c r="CAJ303" s="208"/>
      <c r="CAK303" s="208"/>
      <c r="CAL303" s="208"/>
      <c r="CAM303" s="208"/>
      <c r="CAN303" s="208"/>
      <c r="CAO303" s="208"/>
      <c r="CAP303" s="208"/>
      <c r="CAQ303" s="208"/>
      <c r="CAR303" s="208"/>
      <c r="CAS303" s="208"/>
      <c r="CAT303" s="208"/>
      <c r="CAU303" s="208"/>
      <c r="CAV303" s="208"/>
      <c r="CAW303" s="208"/>
      <c r="CAX303" s="208"/>
      <c r="CAY303" s="208"/>
      <c r="CAZ303" s="208"/>
      <c r="CBA303" s="208"/>
      <c r="CBB303" s="208"/>
      <c r="CBC303" s="208"/>
      <c r="CBD303" s="208"/>
      <c r="CBE303" s="208"/>
      <c r="CBF303" s="208"/>
      <c r="CBG303" s="208"/>
      <c r="CBH303" s="208"/>
      <c r="CBI303" s="208"/>
      <c r="CBJ303" s="208"/>
      <c r="CBK303" s="208"/>
      <c r="CBL303" s="208"/>
      <c r="CBM303" s="208"/>
      <c r="CBN303" s="208"/>
      <c r="CBO303" s="208"/>
      <c r="CBP303" s="208"/>
      <c r="CBQ303" s="208"/>
      <c r="CBR303" s="208"/>
      <c r="CBS303" s="208"/>
      <c r="CBT303" s="208"/>
      <c r="CBU303" s="208"/>
      <c r="CBV303" s="208"/>
      <c r="CBW303" s="208"/>
      <c r="CBX303" s="208"/>
      <c r="CBY303" s="208"/>
      <c r="CBZ303" s="208"/>
      <c r="CCA303" s="208"/>
      <c r="CCB303" s="208"/>
      <c r="CCC303" s="208"/>
      <c r="CCD303" s="208"/>
      <c r="CCE303" s="208"/>
      <c r="CCF303" s="208"/>
      <c r="CCG303" s="208"/>
      <c r="CCH303" s="208"/>
      <c r="CCI303" s="208"/>
      <c r="CCJ303" s="208"/>
      <c r="CCK303" s="208"/>
      <c r="CCL303" s="208"/>
      <c r="CCM303" s="208"/>
      <c r="CCN303" s="208"/>
      <c r="CCO303" s="208"/>
      <c r="CCP303" s="208"/>
      <c r="CCQ303" s="208"/>
      <c r="CCR303" s="208"/>
      <c r="CCS303" s="208"/>
      <c r="CCT303" s="208"/>
      <c r="CCU303" s="208"/>
      <c r="CCV303" s="208"/>
      <c r="CCW303" s="208"/>
      <c r="CCX303" s="208"/>
      <c r="CCY303" s="208"/>
      <c r="CCZ303" s="208"/>
      <c r="CDA303" s="208"/>
      <c r="CDB303" s="208"/>
      <c r="CDC303" s="208"/>
      <c r="CDD303" s="208"/>
      <c r="CDE303" s="208"/>
      <c r="CDF303" s="208"/>
      <c r="CDG303" s="208"/>
      <c r="CDH303" s="208"/>
      <c r="CDI303" s="208"/>
      <c r="CDJ303" s="208"/>
      <c r="CDK303" s="208"/>
      <c r="CDL303" s="208"/>
      <c r="CDM303" s="208"/>
      <c r="CDN303" s="208"/>
      <c r="CDO303" s="208"/>
      <c r="CDP303" s="208"/>
      <c r="CDQ303" s="208"/>
      <c r="CDR303" s="208"/>
      <c r="CDS303" s="208"/>
      <c r="CDT303" s="208"/>
      <c r="CDU303" s="208"/>
      <c r="CDV303" s="208"/>
      <c r="CDW303" s="208"/>
      <c r="CDX303" s="208"/>
      <c r="CDY303" s="208"/>
      <c r="CDZ303" s="208"/>
      <c r="CEA303" s="208"/>
      <c r="CEB303" s="208"/>
      <c r="CEC303" s="208"/>
      <c r="CED303" s="208"/>
      <c r="CEE303" s="208"/>
      <c r="CEF303" s="208"/>
      <c r="CEG303" s="208"/>
      <c r="CEH303" s="208"/>
      <c r="CEI303" s="208"/>
      <c r="CEJ303" s="208"/>
      <c r="CEK303" s="208"/>
      <c r="CEL303" s="208"/>
      <c r="CEM303" s="208"/>
      <c r="CEN303" s="208"/>
      <c r="CEO303" s="208"/>
      <c r="CEP303" s="208"/>
      <c r="CEQ303" s="208"/>
      <c r="CER303" s="208"/>
      <c r="CES303" s="208"/>
      <c r="CET303" s="208"/>
      <c r="CEU303" s="208"/>
      <c r="CEV303" s="208"/>
      <c r="CEW303" s="208"/>
      <c r="CEX303" s="208"/>
      <c r="CEY303" s="208"/>
      <c r="CEZ303" s="208"/>
      <c r="CFA303" s="208"/>
      <c r="CFB303" s="208"/>
      <c r="CFC303" s="208"/>
      <c r="CFD303" s="208"/>
      <c r="CFE303" s="208"/>
      <c r="CFF303" s="208"/>
      <c r="CFG303" s="208"/>
      <c r="CFH303" s="208"/>
      <c r="CFI303" s="208"/>
      <c r="CFJ303" s="208"/>
      <c r="CFK303" s="208"/>
      <c r="CFL303" s="208"/>
      <c r="CFM303" s="208"/>
      <c r="CFN303" s="208"/>
      <c r="CFO303" s="208"/>
      <c r="CFP303" s="208"/>
      <c r="CFQ303" s="208"/>
      <c r="CFR303" s="208"/>
      <c r="CFS303" s="208"/>
      <c r="CFT303" s="208"/>
      <c r="CFU303" s="208"/>
      <c r="CFV303" s="208"/>
      <c r="CFW303" s="208"/>
      <c r="CFX303" s="208"/>
      <c r="CFY303" s="208"/>
      <c r="CFZ303" s="208"/>
      <c r="CGA303" s="208"/>
      <c r="CGB303" s="208"/>
      <c r="CGC303" s="208"/>
      <c r="CGD303" s="208"/>
      <c r="CGE303" s="208"/>
      <c r="CGF303" s="208"/>
      <c r="CGG303" s="208"/>
      <c r="CGH303" s="208"/>
      <c r="CGI303" s="208"/>
      <c r="CGJ303" s="208"/>
      <c r="CGK303" s="208"/>
      <c r="CGL303" s="208"/>
      <c r="CGM303" s="208"/>
      <c r="CGN303" s="208"/>
      <c r="CGO303" s="208"/>
      <c r="CGP303" s="208"/>
      <c r="CGQ303" s="208"/>
      <c r="CGR303" s="208"/>
      <c r="CGS303" s="208"/>
      <c r="CGT303" s="208"/>
      <c r="CGU303" s="208"/>
      <c r="CGV303" s="208"/>
      <c r="CGW303" s="208"/>
      <c r="CGX303" s="208"/>
      <c r="CGY303" s="208"/>
      <c r="CGZ303" s="208"/>
      <c r="CHA303" s="208"/>
      <c r="CHB303" s="208"/>
      <c r="CHC303" s="208"/>
      <c r="CHD303" s="208"/>
      <c r="CHE303" s="208"/>
      <c r="CHF303" s="208"/>
      <c r="CHG303" s="208"/>
      <c r="CHH303" s="208"/>
      <c r="CHI303" s="208"/>
      <c r="CHJ303" s="208"/>
      <c r="CHK303" s="208"/>
      <c r="CHL303" s="208"/>
      <c r="CHM303" s="208"/>
      <c r="CHN303" s="208"/>
      <c r="CHO303" s="208"/>
      <c r="CHP303" s="208"/>
      <c r="CHQ303" s="208"/>
      <c r="CHR303" s="208"/>
      <c r="CHS303" s="208"/>
      <c r="CHT303" s="208"/>
      <c r="CHU303" s="208"/>
      <c r="CHV303" s="208"/>
      <c r="CHW303" s="208"/>
      <c r="CHX303" s="208"/>
      <c r="CHY303" s="208"/>
      <c r="CHZ303" s="208"/>
      <c r="CIA303" s="208"/>
      <c r="CIB303" s="208"/>
      <c r="CIC303" s="208"/>
      <c r="CID303" s="208"/>
      <c r="CIE303" s="208"/>
      <c r="CIF303" s="208"/>
      <c r="CIG303" s="208"/>
      <c r="CIH303" s="208"/>
      <c r="CII303" s="208"/>
      <c r="CIJ303" s="208"/>
      <c r="CIK303" s="208"/>
      <c r="CIL303" s="208"/>
      <c r="CIM303" s="208"/>
      <c r="CIN303" s="208"/>
      <c r="CIO303" s="208"/>
      <c r="CIP303" s="208"/>
      <c r="CIQ303" s="208"/>
      <c r="CIR303" s="208"/>
      <c r="CIS303" s="208"/>
      <c r="CIT303" s="208"/>
      <c r="CIU303" s="208"/>
      <c r="CIV303" s="208"/>
      <c r="CIW303" s="208"/>
      <c r="CIX303" s="208"/>
      <c r="CIY303" s="208"/>
      <c r="CIZ303" s="208"/>
      <c r="CJA303" s="208"/>
      <c r="CJB303" s="208"/>
      <c r="CJC303" s="208"/>
      <c r="CJD303" s="208"/>
      <c r="CJE303" s="208"/>
      <c r="CJF303" s="208"/>
      <c r="CJG303" s="208"/>
      <c r="CJH303" s="208"/>
      <c r="CJI303" s="208"/>
      <c r="CJJ303" s="208"/>
      <c r="CJK303" s="208"/>
      <c r="CJL303" s="208"/>
      <c r="CJM303" s="208"/>
      <c r="CJN303" s="208"/>
      <c r="CJO303" s="208"/>
      <c r="CJP303" s="208"/>
      <c r="CJQ303" s="208"/>
      <c r="CJR303" s="208"/>
      <c r="CJS303" s="208"/>
      <c r="CJT303" s="208"/>
      <c r="CJU303" s="208"/>
      <c r="CJV303" s="208"/>
      <c r="CJW303" s="208"/>
      <c r="CJX303" s="208"/>
      <c r="CJY303" s="208"/>
      <c r="CJZ303" s="208"/>
      <c r="CKA303" s="208"/>
      <c r="CKB303" s="208"/>
      <c r="CKC303" s="208"/>
      <c r="CKD303" s="208"/>
      <c r="CKE303" s="208"/>
      <c r="CKF303" s="208"/>
      <c r="CKG303" s="208"/>
      <c r="CKH303" s="208"/>
      <c r="CKI303" s="208"/>
      <c r="CKJ303" s="208"/>
      <c r="CKK303" s="208"/>
      <c r="CKL303" s="208"/>
      <c r="CKM303" s="208"/>
      <c r="CKN303" s="208"/>
      <c r="CKO303" s="208"/>
      <c r="CKP303" s="208"/>
      <c r="CKQ303" s="208"/>
      <c r="CKR303" s="208"/>
      <c r="CKS303" s="208"/>
      <c r="CKT303" s="208"/>
      <c r="CKU303" s="208"/>
      <c r="CKV303" s="208"/>
      <c r="CKW303" s="208"/>
      <c r="CKX303" s="208"/>
      <c r="CKY303" s="208"/>
      <c r="CKZ303" s="208"/>
      <c r="CLA303" s="208"/>
      <c r="CLB303" s="208"/>
      <c r="CLC303" s="208"/>
      <c r="CLD303" s="208"/>
      <c r="CLE303" s="208"/>
      <c r="CLF303" s="208"/>
      <c r="CLG303" s="208"/>
      <c r="CLH303" s="208"/>
      <c r="CLI303" s="208"/>
      <c r="CLJ303" s="208"/>
      <c r="CLK303" s="208"/>
      <c r="CLL303" s="208"/>
      <c r="CLM303" s="208"/>
      <c r="CLN303" s="208"/>
      <c r="CLO303" s="208"/>
      <c r="CLP303" s="208"/>
      <c r="CLQ303" s="208"/>
      <c r="CLR303" s="208"/>
      <c r="CLS303" s="208"/>
      <c r="CLT303" s="208"/>
      <c r="CLU303" s="208"/>
      <c r="CLV303" s="208"/>
      <c r="CLW303" s="208"/>
      <c r="CLX303" s="208"/>
      <c r="CLY303" s="208"/>
      <c r="CLZ303" s="208"/>
      <c r="CMA303" s="208"/>
      <c r="CMB303" s="208"/>
      <c r="CMC303" s="208"/>
      <c r="CMD303" s="208"/>
      <c r="CME303" s="208"/>
      <c r="CMF303" s="208"/>
      <c r="CMG303" s="208"/>
      <c r="CMH303" s="208"/>
      <c r="CMI303" s="208"/>
      <c r="CMJ303" s="208"/>
      <c r="CMK303" s="208"/>
      <c r="CML303" s="208"/>
      <c r="CMM303" s="208"/>
      <c r="CMN303" s="208"/>
      <c r="CMO303" s="208"/>
      <c r="CMP303" s="208"/>
      <c r="CMQ303" s="208"/>
      <c r="CMR303" s="208"/>
      <c r="CMS303" s="208"/>
      <c r="CMT303" s="208"/>
      <c r="CMU303" s="208"/>
      <c r="CMV303" s="208"/>
      <c r="CMW303" s="208"/>
      <c r="CMX303" s="208"/>
      <c r="CMY303" s="208"/>
      <c r="CMZ303" s="208"/>
      <c r="CNA303" s="208"/>
      <c r="CNB303" s="208"/>
      <c r="CNC303" s="208"/>
      <c r="CND303" s="208"/>
      <c r="CNE303" s="208"/>
      <c r="CNF303" s="208"/>
      <c r="CNG303" s="208"/>
      <c r="CNH303" s="208"/>
      <c r="CNI303" s="208"/>
      <c r="CNJ303" s="208"/>
      <c r="CNK303" s="208"/>
      <c r="CNL303" s="208"/>
      <c r="CNM303" s="208"/>
      <c r="CNN303" s="208"/>
      <c r="CNO303" s="208"/>
      <c r="CNP303" s="208"/>
      <c r="CNQ303" s="208"/>
      <c r="CNR303" s="208"/>
      <c r="CNS303" s="208"/>
      <c r="CNT303" s="208"/>
      <c r="CNU303" s="208"/>
      <c r="CNV303" s="208"/>
      <c r="CNW303" s="208"/>
      <c r="CNX303" s="208"/>
      <c r="CNY303" s="208"/>
      <c r="CNZ303" s="208"/>
      <c r="COA303" s="208"/>
      <c r="COB303" s="208"/>
      <c r="COC303" s="208"/>
      <c r="COD303" s="208"/>
      <c r="COE303" s="208"/>
      <c r="COF303" s="208"/>
      <c r="COG303" s="208"/>
      <c r="COH303" s="208"/>
      <c r="COI303" s="208"/>
      <c r="COJ303" s="208"/>
      <c r="COK303" s="208"/>
      <c r="COL303" s="208"/>
      <c r="COM303" s="208"/>
      <c r="CON303" s="208"/>
      <c r="COO303" s="208"/>
      <c r="COP303" s="208"/>
      <c r="COQ303" s="208"/>
      <c r="COR303" s="208"/>
      <c r="COS303" s="208"/>
      <c r="COT303" s="208"/>
      <c r="COU303" s="208"/>
      <c r="COV303" s="208"/>
      <c r="COW303" s="208"/>
      <c r="COX303" s="208"/>
      <c r="COY303" s="208"/>
      <c r="COZ303" s="208"/>
      <c r="CPA303" s="208"/>
      <c r="CPB303" s="208"/>
      <c r="CPC303" s="208"/>
      <c r="CPD303" s="208"/>
      <c r="CPE303" s="208"/>
      <c r="CPF303" s="208"/>
      <c r="CPG303" s="208"/>
      <c r="CPH303" s="208"/>
      <c r="CPI303" s="208"/>
      <c r="CPJ303" s="208"/>
      <c r="CPK303" s="208"/>
      <c r="CPL303" s="208"/>
      <c r="CPM303" s="208"/>
      <c r="CPN303" s="208"/>
      <c r="CPO303" s="208"/>
      <c r="CPP303" s="208"/>
      <c r="CPQ303" s="208"/>
      <c r="CPR303" s="208"/>
      <c r="CPS303" s="208"/>
      <c r="CPT303" s="208"/>
      <c r="CPU303" s="208"/>
      <c r="CPV303" s="208"/>
      <c r="CPW303" s="208"/>
      <c r="CPX303" s="208"/>
      <c r="CPY303" s="208"/>
      <c r="CPZ303" s="208"/>
      <c r="CQA303" s="208"/>
      <c r="CQB303" s="208"/>
      <c r="CQC303" s="208"/>
      <c r="CQD303" s="208"/>
      <c r="CQE303" s="208"/>
      <c r="CQF303" s="208"/>
      <c r="CQG303" s="208"/>
      <c r="CQH303" s="208"/>
      <c r="CQI303" s="208"/>
      <c r="CQJ303" s="208"/>
      <c r="CQK303" s="208"/>
      <c r="CQL303" s="208"/>
      <c r="CQM303" s="208"/>
      <c r="CQN303" s="208"/>
      <c r="CQO303" s="208"/>
      <c r="CQP303" s="208"/>
      <c r="CQQ303" s="208"/>
      <c r="CQR303" s="208"/>
      <c r="CQS303" s="208"/>
      <c r="CQT303" s="208"/>
      <c r="CQU303" s="208"/>
      <c r="CQV303" s="208"/>
      <c r="CQW303" s="208"/>
      <c r="CQX303" s="208"/>
      <c r="CQY303" s="208"/>
      <c r="CQZ303" s="208"/>
      <c r="CRA303" s="208"/>
      <c r="CRB303" s="208"/>
      <c r="CRC303" s="208"/>
      <c r="CRD303" s="208"/>
      <c r="CRE303" s="208"/>
      <c r="CRF303" s="208"/>
      <c r="CRG303" s="208"/>
      <c r="CRH303" s="208"/>
      <c r="CRI303" s="208"/>
      <c r="CRJ303" s="208"/>
      <c r="CRK303" s="208"/>
      <c r="CRL303" s="208"/>
      <c r="CRM303" s="208"/>
      <c r="CRN303" s="208"/>
      <c r="CRO303" s="208"/>
      <c r="CRP303" s="208"/>
      <c r="CRQ303" s="208"/>
      <c r="CRR303" s="208"/>
      <c r="CRS303" s="208"/>
      <c r="CRT303" s="208"/>
      <c r="CRU303" s="208"/>
      <c r="CRV303" s="208"/>
      <c r="CRW303" s="208"/>
      <c r="CRX303" s="208"/>
      <c r="CRY303" s="208"/>
      <c r="CRZ303" s="208"/>
      <c r="CSA303" s="208"/>
      <c r="CSB303" s="208"/>
      <c r="CSC303" s="208"/>
      <c r="CSD303" s="208"/>
      <c r="CSE303" s="208"/>
      <c r="CSF303" s="208"/>
      <c r="CSG303" s="208"/>
      <c r="CSH303" s="208"/>
      <c r="CSI303" s="208"/>
      <c r="CSJ303" s="208"/>
      <c r="CSK303" s="208"/>
      <c r="CSL303" s="208"/>
      <c r="CSM303" s="208"/>
      <c r="CSN303" s="208"/>
      <c r="CSO303" s="208"/>
      <c r="CSP303" s="208"/>
      <c r="CSQ303" s="208"/>
      <c r="CSR303" s="208"/>
      <c r="CSS303" s="208"/>
      <c r="CST303" s="208"/>
      <c r="CSU303" s="208"/>
      <c r="CSV303" s="208"/>
      <c r="CSW303" s="208"/>
      <c r="CSX303" s="208"/>
      <c r="CSY303" s="208"/>
      <c r="CSZ303" s="208"/>
      <c r="CTA303" s="208"/>
      <c r="CTB303" s="208"/>
      <c r="CTC303" s="208"/>
      <c r="CTD303" s="208"/>
      <c r="CTE303" s="208"/>
      <c r="CTF303" s="208"/>
      <c r="CTG303" s="208"/>
      <c r="CTH303" s="208"/>
      <c r="CTI303" s="208"/>
      <c r="CTJ303" s="208"/>
      <c r="CTK303" s="208"/>
      <c r="CTL303" s="208"/>
      <c r="CTM303" s="208"/>
      <c r="CTN303" s="208"/>
      <c r="CTO303" s="208"/>
      <c r="CTP303" s="208"/>
      <c r="CTQ303" s="208"/>
      <c r="CTR303" s="208"/>
      <c r="CTS303" s="208"/>
      <c r="CTT303" s="208"/>
      <c r="CTU303" s="208"/>
      <c r="CTV303" s="208"/>
      <c r="CTW303" s="208"/>
      <c r="CTX303" s="208"/>
      <c r="CTY303" s="208"/>
      <c r="CTZ303" s="208"/>
      <c r="CUA303" s="208"/>
      <c r="CUB303" s="208"/>
      <c r="CUC303" s="208"/>
      <c r="CUD303" s="208"/>
      <c r="CUE303" s="208"/>
      <c r="CUF303" s="208"/>
      <c r="CUG303" s="208"/>
      <c r="CUH303" s="208"/>
      <c r="CUI303" s="208"/>
      <c r="CUJ303" s="208"/>
      <c r="CUK303" s="208"/>
      <c r="CUL303" s="208"/>
      <c r="CUM303" s="208"/>
      <c r="CUN303" s="208"/>
      <c r="CUO303" s="208"/>
      <c r="CUP303" s="208"/>
      <c r="CUQ303" s="208"/>
      <c r="CUR303" s="208"/>
      <c r="CUS303" s="208"/>
      <c r="CUT303" s="208"/>
      <c r="CUU303" s="208"/>
      <c r="CUV303" s="208"/>
      <c r="CUW303" s="208"/>
      <c r="CUX303" s="208"/>
      <c r="CUY303" s="208"/>
      <c r="CUZ303" s="208"/>
      <c r="CVA303" s="208"/>
      <c r="CVB303" s="208"/>
      <c r="CVC303" s="208"/>
      <c r="CVD303" s="208"/>
      <c r="CVE303" s="208"/>
      <c r="CVF303" s="208"/>
      <c r="CVG303" s="208"/>
      <c r="CVH303" s="208"/>
      <c r="CVI303" s="208"/>
      <c r="CVJ303" s="208"/>
      <c r="CVK303" s="208"/>
      <c r="CVL303" s="208"/>
      <c r="CVM303" s="208"/>
      <c r="CVN303" s="208"/>
      <c r="CVO303" s="208"/>
      <c r="CVP303" s="208"/>
      <c r="CVQ303" s="208"/>
      <c r="CVR303" s="208"/>
      <c r="CVS303" s="208"/>
      <c r="CVT303" s="208"/>
      <c r="CVU303" s="208"/>
      <c r="CVV303" s="208"/>
      <c r="CVW303" s="208"/>
      <c r="CVX303" s="208"/>
      <c r="CVY303" s="208"/>
      <c r="CVZ303" s="208"/>
      <c r="CWA303" s="208"/>
      <c r="CWB303" s="208"/>
      <c r="CWC303" s="208"/>
      <c r="CWD303" s="208"/>
      <c r="CWE303" s="208"/>
      <c r="CWF303" s="208"/>
      <c r="CWG303" s="208"/>
      <c r="CWH303" s="208"/>
      <c r="CWI303" s="208"/>
      <c r="CWJ303" s="208"/>
      <c r="CWK303" s="208"/>
      <c r="CWL303" s="208"/>
      <c r="CWM303" s="208"/>
      <c r="CWN303" s="208"/>
      <c r="CWO303" s="208"/>
      <c r="CWP303" s="208"/>
      <c r="CWQ303" s="208"/>
      <c r="CWR303" s="208"/>
      <c r="CWS303" s="208"/>
      <c r="CWT303" s="208"/>
      <c r="CWU303" s="208"/>
      <c r="CWV303" s="208"/>
      <c r="CWW303" s="208"/>
      <c r="CWX303" s="208"/>
      <c r="CWY303" s="208"/>
      <c r="CWZ303" s="208"/>
      <c r="CXA303" s="208"/>
      <c r="CXB303" s="208"/>
      <c r="CXC303" s="208"/>
      <c r="CXD303" s="208"/>
      <c r="CXE303" s="208"/>
      <c r="CXF303" s="208"/>
      <c r="CXG303" s="208"/>
      <c r="CXH303" s="208"/>
      <c r="CXI303" s="208"/>
      <c r="CXJ303" s="208"/>
      <c r="CXK303" s="208"/>
      <c r="CXL303" s="208"/>
      <c r="CXM303" s="208"/>
      <c r="CXN303" s="208"/>
      <c r="CXO303" s="208"/>
      <c r="CXP303" s="208"/>
      <c r="CXQ303" s="208"/>
      <c r="CXR303" s="208"/>
      <c r="CXS303" s="208"/>
      <c r="CXT303" s="208"/>
      <c r="CXU303" s="208"/>
      <c r="CXV303" s="208"/>
      <c r="CXW303" s="208"/>
      <c r="CXX303" s="208"/>
      <c r="CXY303" s="208"/>
      <c r="CXZ303" s="208"/>
      <c r="CYA303" s="208"/>
      <c r="CYB303" s="208"/>
      <c r="CYC303" s="208"/>
      <c r="CYD303" s="208"/>
      <c r="CYE303" s="208"/>
      <c r="CYF303" s="208"/>
      <c r="CYG303" s="208"/>
      <c r="CYH303" s="208"/>
      <c r="CYI303" s="208"/>
      <c r="CYJ303" s="208"/>
      <c r="CYK303" s="208"/>
      <c r="CYL303" s="208"/>
      <c r="CYM303" s="208"/>
      <c r="CYN303" s="208"/>
      <c r="CYO303" s="208"/>
      <c r="CYP303" s="208"/>
      <c r="CYQ303" s="208"/>
      <c r="CYR303" s="208"/>
      <c r="CYS303" s="208"/>
      <c r="CYT303" s="208"/>
      <c r="CYU303" s="208"/>
      <c r="CYV303" s="208"/>
      <c r="CYW303" s="208"/>
      <c r="CYX303" s="208"/>
      <c r="CYY303" s="208"/>
      <c r="CYZ303" s="208"/>
      <c r="CZA303" s="208"/>
      <c r="CZB303" s="208"/>
      <c r="CZC303" s="208"/>
      <c r="CZD303" s="208"/>
      <c r="CZE303" s="208"/>
      <c r="CZF303" s="208"/>
      <c r="CZG303" s="208"/>
      <c r="CZH303" s="208"/>
      <c r="CZI303" s="208"/>
      <c r="CZJ303" s="208"/>
      <c r="CZK303" s="208"/>
      <c r="CZL303" s="208"/>
      <c r="CZM303" s="208"/>
      <c r="CZN303" s="208"/>
      <c r="CZO303" s="208"/>
      <c r="CZP303" s="208"/>
      <c r="CZQ303" s="208"/>
      <c r="CZR303" s="208"/>
      <c r="CZS303" s="208"/>
      <c r="CZT303" s="208"/>
      <c r="CZU303" s="208"/>
      <c r="CZV303" s="208"/>
      <c r="CZW303" s="208"/>
      <c r="CZX303" s="208"/>
      <c r="CZY303" s="208"/>
      <c r="CZZ303" s="208"/>
      <c r="DAA303" s="208"/>
      <c r="DAB303" s="208"/>
      <c r="DAC303" s="208"/>
      <c r="DAD303" s="208"/>
      <c r="DAE303" s="208"/>
      <c r="DAF303" s="208"/>
      <c r="DAG303" s="208"/>
      <c r="DAH303" s="208"/>
      <c r="DAI303" s="208"/>
      <c r="DAJ303" s="208"/>
      <c r="DAK303" s="208"/>
      <c r="DAL303" s="208"/>
      <c r="DAM303" s="208"/>
      <c r="DAN303" s="208"/>
      <c r="DAO303" s="208"/>
      <c r="DAP303" s="208"/>
      <c r="DAQ303" s="208"/>
      <c r="DAR303" s="208"/>
      <c r="DAS303" s="208"/>
      <c r="DAT303" s="208"/>
      <c r="DAU303" s="208"/>
      <c r="DAV303" s="208"/>
      <c r="DAW303" s="208"/>
      <c r="DAX303" s="208"/>
      <c r="DAY303" s="208"/>
      <c r="DAZ303" s="208"/>
      <c r="DBA303" s="208"/>
      <c r="DBB303" s="208"/>
      <c r="DBC303" s="208"/>
      <c r="DBD303" s="208"/>
      <c r="DBE303" s="208"/>
      <c r="DBF303" s="208"/>
      <c r="DBG303" s="208"/>
      <c r="DBH303" s="208"/>
      <c r="DBI303" s="208"/>
      <c r="DBJ303" s="208"/>
      <c r="DBK303" s="208"/>
      <c r="DBL303" s="208"/>
      <c r="DBM303" s="208"/>
      <c r="DBN303" s="208"/>
      <c r="DBO303" s="208"/>
      <c r="DBP303" s="208"/>
      <c r="DBQ303" s="208"/>
      <c r="DBR303" s="208"/>
      <c r="DBS303" s="208"/>
      <c r="DBT303" s="208"/>
      <c r="DBU303" s="208"/>
      <c r="DBV303" s="208"/>
      <c r="DBW303" s="208"/>
      <c r="DBX303" s="208"/>
      <c r="DBY303" s="208"/>
      <c r="DBZ303" s="208"/>
      <c r="DCA303" s="208"/>
      <c r="DCB303" s="208"/>
      <c r="DCC303" s="208"/>
      <c r="DCD303" s="208"/>
      <c r="DCE303" s="208"/>
      <c r="DCF303" s="208"/>
      <c r="DCG303" s="208"/>
      <c r="DCH303" s="208"/>
      <c r="DCI303" s="208"/>
      <c r="DCJ303" s="208"/>
      <c r="DCK303" s="208"/>
      <c r="DCL303" s="208"/>
      <c r="DCM303" s="208"/>
      <c r="DCN303" s="208"/>
      <c r="DCO303" s="208"/>
      <c r="DCP303" s="208"/>
      <c r="DCQ303" s="208"/>
      <c r="DCR303" s="208"/>
      <c r="DCS303" s="208"/>
      <c r="DCT303" s="208"/>
      <c r="DCU303" s="208"/>
      <c r="DCV303" s="208"/>
      <c r="DCW303" s="208"/>
      <c r="DCX303" s="208"/>
      <c r="DCY303" s="208"/>
      <c r="DCZ303" s="208"/>
      <c r="DDA303" s="208"/>
      <c r="DDB303" s="208"/>
      <c r="DDC303" s="208"/>
      <c r="DDD303" s="208"/>
      <c r="DDE303" s="208"/>
      <c r="DDF303" s="208"/>
      <c r="DDG303" s="208"/>
      <c r="DDH303" s="208"/>
      <c r="DDI303" s="208"/>
      <c r="DDJ303" s="208"/>
      <c r="DDK303" s="208"/>
      <c r="DDL303" s="208"/>
      <c r="DDM303" s="208"/>
      <c r="DDN303" s="208"/>
      <c r="DDO303" s="208"/>
      <c r="DDP303" s="208"/>
      <c r="DDQ303" s="208"/>
      <c r="DDR303" s="208"/>
      <c r="DDS303" s="208"/>
      <c r="DDT303" s="208"/>
      <c r="DDU303" s="208"/>
      <c r="DDV303" s="208"/>
      <c r="DDW303" s="208"/>
      <c r="DDX303" s="208"/>
      <c r="DDY303" s="208"/>
      <c r="DDZ303" s="208"/>
      <c r="DEA303" s="208"/>
      <c r="DEB303" s="208"/>
      <c r="DEC303" s="208"/>
      <c r="DED303" s="208"/>
      <c r="DEE303" s="208"/>
      <c r="DEF303" s="208"/>
      <c r="DEG303" s="208"/>
      <c r="DEH303" s="208"/>
      <c r="DEI303" s="208"/>
      <c r="DEJ303" s="208"/>
      <c r="DEK303" s="208"/>
      <c r="DEL303" s="208"/>
      <c r="DEM303" s="208"/>
      <c r="DEN303" s="208"/>
      <c r="DEO303" s="208"/>
      <c r="DEP303" s="208"/>
      <c r="DEQ303" s="208"/>
      <c r="DER303" s="208"/>
      <c r="DES303" s="208"/>
      <c r="DET303" s="208"/>
      <c r="DEU303" s="208"/>
      <c r="DEV303" s="208"/>
      <c r="DEW303" s="208"/>
      <c r="DEX303" s="208"/>
      <c r="DEY303" s="208"/>
      <c r="DEZ303" s="208"/>
      <c r="DFA303" s="208"/>
      <c r="DFB303" s="208"/>
      <c r="DFC303" s="208"/>
      <c r="DFD303" s="208"/>
      <c r="DFE303" s="208"/>
      <c r="DFF303" s="208"/>
      <c r="DFG303" s="208"/>
      <c r="DFH303" s="208"/>
      <c r="DFI303" s="208"/>
      <c r="DFJ303" s="208"/>
      <c r="DFK303" s="208"/>
      <c r="DFL303" s="208"/>
      <c r="DFM303" s="208"/>
      <c r="DFN303" s="208"/>
      <c r="DFO303" s="208"/>
      <c r="DFP303" s="208"/>
      <c r="DFQ303" s="208"/>
      <c r="DFR303" s="208"/>
      <c r="DFS303" s="208"/>
      <c r="DFT303" s="208"/>
      <c r="DFU303" s="208"/>
      <c r="DFV303" s="208"/>
      <c r="DFW303" s="208"/>
      <c r="DFX303" s="208"/>
      <c r="DFY303" s="208"/>
      <c r="DFZ303" s="208"/>
      <c r="DGA303" s="208"/>
      <c r="DGB303" s="208"/>
      <c r="DGC303" s="208"/>
      <c r="DGD303" s="208"/>
      <c r="DGE303" s="208"/>
      <c r="DGF303" s="208"/>
      <c r="DGG303" s="208"/>
      <c r="DGH303" s="208"/>
      <c r="DGI303" s="208"/>
      <c r="DGJ303" s="208"/>
      <c r="DGK303" s="208"/>
      <c r="DGL303" s="208"/>
      <c r="DGM303" s="208"/>
      <c r="DGN303" s="208"/>
      <c r="DGO303" s="208"/>
      <c r="DGP303" s="208"/>
      <c r="DGQ303" s="208"/>
      <c r="DGR303" s="208"/>
      <c r="DGS303" s="208"/>
      <c r="DGT303" s="208"/>
      <c r="DGU303" s="208"/>
      <c r="DGV303" s="208"/>
      <c r="DGW303" s="208"/>
      <c r="DGX303" s="208"/>
      <c r="DGY303" s="208"/>
      <c r="DGZ303" s="208"/>
      <c r="DHA303" s="208"/>
      <c r="DHB303" s="208"/>
      <c r="DHC303" s="208"/>
      <c r="DHD303" s="208"/>
      <c r="DHE303" s="208"/>
      <c r="DHF303" s="208"/>
      <c r="DHG303" s="208"/>
      <c r="DHH303" s="208"/>
      <c r="DHI303" s="208"/>
      <c r="DHJ303" s="208"/>
      <c r="DHK303" s="208"/>
      <c r="DHL303" s="208"/>
      <c r="DHM303" s="208"/>
      <c r="DHN303" s="208"/>
      <c r="DHO303" s="208"/>
      <c r="DHP303" s="208"/>
      <c r="DHQ303" s="208"/>
      <c r="DHR303" s="208"/>
      <c r="DHS303" s="208"/>
      <c r="DHT303" s="208"/>
      <c r="DHU303" s="208"/>
      <c r="DHV303" s="208"/>
      <c r="DHW303" s="208"/>
      <c r="DHX303" s="208"/>
      <c r="DHY303" s="208"/>
      <c r="DHZ303" s="208"/>
      <c r="DIA303" s="208"/>
      <c r="DIB303" s="208"/>
      <c r="DIC303" s="208"/>
      <c r="DID303" s="208"/>
      <c r="DIE303" s="208"/>
      <c r="DIF303" s="208"/>
      <c r="DIG303" s="208"/>
      <c r="DIH303" s="208"/>
      <c r="DII303" s="208"/>
      <c r="DIJ303" s="208"/>
      <c r="DIK303" s="208"/>
      <c r="DIL303" s="208"/>
      <c r="DIM303" s="208"/>
      <c r="DIN303" s="208"/>
      <c r="DIO303" s="208"/>
      <c r="DIP303" s="208"/>
      <c r="DIQ303" s="208"/>
      <c r="DIR303" s="208"/>
      <c r="DIS303" s="208"/>
      <c r="DIT303" s="208"/>
      <c r="DIU303" s="208"/>
      <c r="DIV303" s="208"/>
      <c r="DIW303" s="208"/>
      <c r="DIX303" s="208"/>
      <c r="DIY303" s="208"/>
      <c r="DIZ303" s="208"/>
      <c r="DJA303" s="208"/>
      <c r="DJB303" s="208"/>
      <c r="DJC303" s="208"/>
      <c r="DJD303" s="208"/>
      <c r="DJE303" s="208"/>
      <c r="DJF303" s="208"/>
      <c r="DJG303" s="208"/>
      <c r="DJH303" s="208"/>
      <c r="DJI303" s="208"/>
      <c r="DJJ303" s="208"/>
      <c r="DJK303" s="208"/>
      <c r="DJL303" s="208"/>
      <c r="DJM303" s="208"/>
      <c r="DJN303" s="208"/>
      <c r="DJO303" s="208"/>
      <c r="DJP303" s="208"/>
      <c r="DJQ303" s="208"/>
      <c r="DJR303" s="208"/>
      <c r="DJS303" s="208"/>
      <c r="DJT303" s="208"/>
      <c r="DJU303" s="208"/>
      <c r="DJV303" s="208"/>
      <c r="DJW303" s="208"/>
      <c r="DJX303" s="208"/>
      <c r="DJY303" s="208"/>
      <c r="DJZ303" s="208"/>
      <c r="DKA303" s="208"/>
      <c r="DKB303" s="208"/>
      <c r="DKC303" s="208"/>
      <c r="DKD303" s="208"/>
      <c r="DKE303" s="208"/>
      <c r="DKF303" s="208"/>
      <c r="DKG303" s="208"/>
      <c r="DKH303" s="208"/>
      <c r="DKI303" s="208"/>
      <c r="DKJ303" s="208"/>
      <c r="DKK303" s="208"/>
      <c r="DKL303" s="208"/>
      <c r="DKM303" s="208"/>
      <c r="DKN303" s="208"/>
      <c r="DKO303" s="208"/>
      <c r="DKP303" s="208"/>
      <c r="DKQ303" s="208"/>
      <c r="DKR303" s="208"/>
      <c r="DKS303" s="208"/>
      <c r="DKT303" s="208"/>
      <c r="DKU303" s="208"/>
      <c r="DKV303" s="208"/>
      <c r="DKW303" s="208"/>
      <c r="DKX303" s="208"/>
      <c r="DKY303" s="208"/>
      <c r="DKZ303" s="208"/>
      <c r="DLA303" s="208"/>
      <c r="DLB303" s="208"/>
      <c r="DLC303" s="208"/>
      <c r="DLD303" s="208"/>
      <c r="DLE303" s="208"/>
      <c r="DLF303" s="208"/>
      <c r="DLG303" s="208"/>
      <c r="DLH303" s="208"/>
      <c r="DLI303" s="208"/>
      <c r="DLJ303" s="208"/>
      <c r="DLK303" s="208"/>
      <c r="DLL303" s="208"/>
      <c r="DLM303" s="208"/>
      <c r="DLN303" s="208"/>
      <c r="DLO303" s="208"/>
      <c r="DLP303" s="208"/>
      <c r="DLQ303" s="208"/>
      <c r="DLR303" s="208"/>
      <c r="DLS303" s="208"/>
      <c r="DLT303" s="208"/>
      <c r="DLU303" s="208"/>
      <c r="DLV303" s="208"/>
      <c r="DLW303" s="208"/>
      <c r="DLX303" s="208"/>
      <c r="DLY303" s="208"/>
      <c r="DLZ303" s="208"/>
      <c r="DMA303" s="208"/>
      <c r="DMB303" s="208"/>
      <c r="DMC303" s="208"/>
      <c r="DMD303" s="208"/>
      <c r="DME303" s="208"/>
      <c r="DMF303" s="208"/>
      <c r="DMG303" s="208"/>
      <c r="DMH303" s="208"/>
      <c r="DMI303" s="208"/>
      <c r="DMJ303" s="208"/>
      <c r="DMK303" s="208"/>
      <c r="DML303" s="208"/>
      <c r="DMM303" s="208"/>
      <c r="DMN303" s="208"/>
      <c r="DMO303" s="208"/>
      <c r="DMP303" s="208"/>
      <c r="DMQ303" s="208"/>
      <c r="DMR303" s="208"/>
      <c r="DMS303" s="208"/>
      <c r="DMT303" s="208"/>
      <c r="DMU303" s="208"/>
      <c r="DMV303" s="208"/>
      <c r="DMW303" s="208"/>
      <c r="DMX303" s="208"/>
      <c r="DMY303" s="208"/>
      <c r="DMZ303" s="208"/>
      <c r="DNA303" s="208"/>
      <c r="DNB303" s="208"/>
      <c r="DNC303" s="208"/>
      <c r="DND303" s="208"/>
      <c r="DNE303" s="208"/>
      <c r="DNF303" s="208"/>
      <c r="DNG303" s="208"/>
      <c r="DNH303" s="208"/>
      <c r="DNI303" s="208"/>
      <c r="DNJ303" s="208"/>
      <c r="DNK303" s="208"/>
      <c r="DNL303" s="208"/>
      <c r="DNM303" s="208"/>
      <c r="DNN303" s="208"/>
      <c r="DNO303" s="208"/>
      <c r="DNP303" s="208"/>
      <c r="DNQ303" s="208"/>
      <c r="DNR303" s="208"/>
      <c r="DNS303" s="208"/>
      <c r="DNT303" s="208"/>
      <c r="DNU303" s="208"/>
      <c r="DNV303" s="208"/>
      <c r="DNW303" s="208"/>
      <c r="DNX303" s="208"/>
      <c r="DNY303" s="208"/>
      <c r="DNZ303" s="208"/>
      <c r="DOA303" s="208"/>
      <c r="DOB303" s="208"/>
      <c r="DOC303" s="208"/>
      <c r="DOD303" s="208"/>
      <c r="DOE303" s="208"/>
      <c r="DOF303" s="208"/>
      <c r="DOG303" s="208"/>
      <c r="DOH303" s="208"/>
      <c r="DOI303" s="208"/>
      <c r="DOJ303" s="208"/>
      <c r="DOK303" s="208"/>
      <c r="DOL303" s="208"/>
      <c r="DOM303" s="208"/>
      <c r="DON303" s="208"/>
      <c r="DOO303" s="208"/>
      <c r="DOP303" s="208"/>
      <c r="DOQ303" s="208"/>
      <c r="DOR303" s="208"/>
      <c r="DOS303" s="208"/>
      <c r="DOT303" s="208"/>
      <c r="DOU303" s="208"/>
      <c r="DOV303" s="208"/>
      <c r="DOW303" s="208"/>
      <c r="DOX303" s="208"/>
      <c r="DOY303" s="208"/>
      <c r="DOZ303" s="208"/>
      <c r="DPA303" s="208"/>
      <c r="DPB303" s="208"/>
      <c r="DPC303" s="208"/>
      <c r="DPD303" s="208"/>
      <c r="DPE303" s="208"/>
      <c r="DPF303" s="208"/>
      <c r="DPG303" s="208"/>
      <c r="DPH303" s="208"/>
      <c r="DPI303" s="208"/>
      <c r="DPJ303" s="208"/>
      <c r="DPK303" s="208"/>
      <c r="DPL303" s="208"/>
      <c r="DPM303" s="208"/>
      <c r="DPN303" s="208"/>
      <c r="DPO303" s="208"/>
      <c r="DPP303" s="208"/>
      <c r="DPQ303" s="208"/>
      <c r="DPR303" s="208"/>
      <c r="DPS303" s="208"/>
      <c r="DPT303" s="208"/>
      <c r="DPU303" s="208"/>
      <c r="DPV303" s="208"/>
      <c r="DPW303" s="208"/>
      <c r="DPX303" s="208"/>
      <c r="DPY303" s="208"/>
      <c r="DPZ303" s="208"/>
      <c r="DQA303" s="208"/>
      <c r="DQB303" s="208"/>
      <c r="DQC303" s="208"/>
      <c r="DQD303" s="208"/>
      <c r="DQE303" s="208"/>
      <c r="DQF303" s="208"/>
      <c r="DQG303" s="208"/>
      <c r="DQH303" s="208"/>
      <c r="DQI303" s="208"/>
      <c r="DQJ303" s="208"/>
      <c r="DQK303" s="208"/>
      <c r="DQL303" s="208"/>
      <c r="DQM303" s="208"/>
      <c r="DQN303" s="208"/>
      <c r="DQO303" s="208"/>
      <c r="DQP303" s="208"/>
      <c r="DQQ303" s="208"/>
      <c r="DQR303" s="208"/>
      <c r="DQS303" s="208"/>
      <c r="DQT303" s="208"/>
      <c r="DQU303" s="208"/>
      <c r="DQV303" s="208"/>
      <c r="DQW303" s="208"/>
      <c r="DQX303" s="208"/>
      <c r="DQY303" s="208"/>
      <c r="DQZ303" s="208"/>
      <c r="DRA303" s="208"/>
      <c r="DRB303" s="208"/>
      <c r="DRC303" s="208"/>
      <c r="DRD303" s="208"/>
      <c r="DRE303" s="208"/>
      <c r="DRF303" s="208"/>
      <c r="DRG303" s="208"/>
      <c r="DRH303" s="208"/>
      <c r="DRI303" s="208"/>
      <c r="DRJ303" s="208"/>
      <c r="DRK303" s="208"/>
      <c r="DRL303" s="208"/>
      <c r="DRM303" s="208"/>
      <c r="DRN303" s="208"/>
      <c r="DRO303" s="208"/>
      <c r="DRP303" s="208"/>
      <c r="DRQ303" s="208"/>
      <c r="DRR303" s="208"/>
      <c r="DRS303" s="208"/>
      <c r="DRT303" s="208"/>
      <c r="DRU303" s="208"/>
      <c r="DRV303" s="208"/>
      <c r="DRW303" s="208"/>
      <c r="DRX303" s="208"/>
      <c r="DRY303" s="208"/>
      <c r="DRZ303" s="208"/>
      <c r="DSA303" s="208"/>
      <c r="DSB303" s="208"/>
      <c r="DSC303" s="208"/>
      <c r="DSD303" s="208"/>
      <c r="DSE303" s="208"/>
      <c r="DSF303" s="208"/>
      <c r="DSG303" s="208"/>
      <c r="DSH303" s="208"/>
      <c r="DSI303" s="208"/>
      <c r="DSJ303" s="208"/>
      <c r="DSK303" s="208"/>
      <c r="DSL303" s="208"/>
      <c r="DSM303" s="208"/>
      <c r="DSN303" s="208"/>
      <c r="DSO303" s="208"/>
      <c r="DSP303" s="208"/>
      <c r="DSQ303" s="208"/>
      <c r="DSR303" s="208"/>
      <c r="DSS303" s="208"/>
      <c r="DST303" s="208"/>
      <c r="DSU303" s="208"/>
      <c r="DSV303" s="208"/>
      <c r="DSW303" s="208"/>
      <c r="DSX303" s="208"/>
      <c r="DSY303" s="208"/>
      <c r="DSZ303" s="208"/>
      <c r="DTA303" s="208"/>
      <c r="DTB303" s="208"/>
      <c r="DTC303" s="208"/>
      <c r="DTD303" s="208"/>
      <c r="DTE303" s="208"/>
      <c r="DTF303" s="208"/>
      <c r="DTG303" s="208"/>
      <c r="DTH303" s="208"/>
      <c r="DTI303" s="208"/>
      <c r="DTJ303" s="208"/>
      <c r="DTK303" s="208"/>
      <c r="DTL303" s="208"/>
      <c r="DTM303" s="208"/>
      <c r="DTN303" s="208"/>
      <c r="DTO303" s="208"/>
      <c r="DTP303" s="208"/>
      <c r="DTQ303" s="208"/>
      <c r="DTR303" s="208"/>
      <c r="DTS303" s="208"/>
      <c r="DTT303" s="208"/>
      <c r="DTU303" s="208"/>
      <c r="DTV303" s="208"/>
      <c r="DTW303" s="208"/>
      <c r="DTX303" s="208"/>
      <c r="DTY303" s="208"/>
      <c r="DTZ303" s="208"/>
      <c r="DUA303" s="208"/>
      <c r="DUB303" s="208"/>
      <c r="DUC303" s="208"/>
      <c r="DUD303" s="208"/>
      <c r="DUE303" s="208"/>
      <c r="DUF303" s="208"/>
      <c r="DUG303" s="208"/>
      <c r="DUH303" s="208"/>
      <c r="DUI303" s="208"/>
      <c r="DUJ303" s="208"/>
      <c r="DUK303" s="208"/>
      <c r="DUL303" s="208"/>
      <c r="DUM303" s="208"/>
      <c r="DUN303" s="208"/>
      <c r="DUO303" s="208"/>
      <c r="DUP303" s="208"/>
      <c r="DUQ303" s="208"/>
      <c r="DUR303" s="208"/>
      <c r="DUS303" s="208"/>
      <c r="DUT303" s="208"/>
      <c r="DUU303" s="208"/>
      <c r="DUV303" s="208"/>
      <c r="DUW303" s="208"/>
      <c r="DUX303" s="208"/>
      <c r="DUY303" s="208"/>
      <c r="DUZ303" s="208"/>
      <c r="DVA303" s="208"/>
      <c r="DVB303" s="208"/>
      <c r="DVC303" s="208"/>
      <c r="DVD303" s="208"/>
      <c r="DVE303" s="208"/>
      <c r="DVF303" s="208"/>
      <c r="DVG303" s="208"/>
      <c r="DVH303" s="208"/>
      <c r="DVI303" s="208"/>
      <c r="DVJ303" s="208"/>
      <c r="DVK303" s="208"/>
      <c r="DVL303" s="208"/>
      <c r="DVM303" s="208"/>
      <c r="DVN303" s="208"/>
      <c r="DVO303" s="208"/>
      <c r="DVP303" s="208"/>
      <c r="DVQ303" s="208"/>
      <c r="DVR303" s="208"/>
      <c r="DVS303" s="208"/>
      <c r="DVT303" s="208"/>
      <c r="DVU303" s="208"/>
      <c r="DVV303" s="208"/>
      <c r="DVW303" s="208"/>
      <c r="DVX303" s="208"/>
      <c r="DVY303" s="208"/>
      <c r="DVZ303" s="208"/>
      <c r="DWA303" s="208"/>
      <c r="DWB303" s="208"/>
      <c r="DWC303" s="208"/>
      <c r="DWD303" s="208"/>
      <c r="DWE303" s="208"/>
      <c r="DWF303" s="208"/>
      <c r="DWG303" s="208"/>
      <c r="DWH303" s="208"/>
      <c r="DWI303" s="208"/>
      <c r="DWJ303" s="208"/>
      <c r="DWK303" s="208"/>
      <c r="DWL303" s="208"/>
      <c r="DWM303" s="208"/>
      <c r="DWN303" s="208"/>
      <c r="DWO303" s="208"/>
      <c r="DWP303" s="208"/>
      <c r="DWQ303" s="208"/>
      <c r="DWR303" s="208"/>
      <c r="DWS303" s="208"/>
      <c r="DWT303" s="208"/>
      <c r="DWU303" s="208"/>
      <c r="DWV303" s="208"/>
      <c r="DWW303" s="208"/>
      <c r="DWX303" s="208"/>
      <c r="DWY303" s="208"/>
      <c r="DWZ303" s="208"/>
      <c r="DXA303" s="208"/>
      <c r="DXB303" s="208"/>
      <c r="DXC303" s="208"/>
      <c r="DXD303" s="208"/>
      <c r="DXE303" s="208"/>
      <c r="DXF303" s="208"/>
      <c r="DXG303" s="208"/>
      <c r="DXH303" s="208"/>
      <c r="DXI303" s="208"/>
      <c r="DXJ303" s="208"/>
      <c r="DXK303" s="208"/>
      <c r="DXL303" s="208"/>
      <c r="DXM303" s="208"/>
      <c r="DXN303" s="208"/>
      <c r="DXO303" s="208"/>
      <c r="DXP303" s="208"/>
      <c r="DXQ303" s="208"/>
      <c r="DXR303" s="208"/>
      <c r="DXS303" s="208"/>
      <c r="DXT303" s="208"/>
      <c r="DXU303" s="208"/>
      <c r="DXV303" s="208"/>
      <c r="DXW303" s="208"/>
      <c r="DXX303" s="208"/>
      <c r="DXY303" s="208"/>
      <c r="DXZ303" s="208"/>
      <c r="DYA303" s="208"/>
      <c r="DYB303" s="208"/>
      <c r="DYC303" s="208"/>
      <c r="DYD303" s="208"/>
      <c r="DYE303" s="208"/>
      <c r="DYF303" s="208"/>
      <c r="DYG303" s="208"/>
      <c r="DYH303" s="208"/>
      <c r="DYI303" s="208"/>
      <c r="DYJ303" s="208"/>
      <c r="DYK303" s="208"/>
      <c r="DYL303" s="208"/>
      <c r="DYM303" s="208"/>
      <c r="DYN303" s="208"/>
      <c r="DYO303" s="208"/>
      <c r="DYP303" s="208"/>
      <c r="DYQ303" s="208"/>
      <c r="DYR303" s="208"/>
      <c r="DYS303" s="208"/>
      <c r="DYT303" s="208"/>
      <c r="DYU303" s="208"/>
      <c r="DYV303" s="208"/>
      <c r="DYW303" s="208"/>
      <c r="DYX303" s="208"/>
      <c r="DYY303" s="208"/>
      <c r="DYZ303" s="208"/>
      <c r="DZA303" s="208"/>
      <c r="DZB303" s="208"/>
      <c r="DZC303" s="208"/>
      <c r="DZD303" s="208"/>
      <c r="DZE303" s="208"/>
      <c r="DZF303" s="208"/>
      <c r="DZG303" s="208"/>
      <c r="DZH303" s="208"/>
      <c r="DZI303" s="208"/>
      <c r="DZJ303" s="208"/>
      <c r="DZK303" s="208"/>
      <c r="DZL303" s="208"/>
      <c r="DZM303" s="208"/>
      <c r="DZN303" s="208"/>
      <c r="DZO303" s="208"/>
      <c r="DZP303" s="208"/>
      <c r="DZQ303" s="208"/>
      <c r="DZR303" s="208"/>
      <c r="DZS303" s="208"/>
      <c r="DZT303" s="208"/>
      <c r="DZU303" s="208"/>
      <c r="DZV303" s="208"/>
      <c r="DZW303" s="208"/>
      <c r="DZX303" s="208"/>
      <c r="DZY303" s="208"/>
      <c r="DZZ303" s="208"/>
      <c r="EAA303" s="208"/>
      <c r="EAB303" s="208"/>
      <c r="EAC303" s="208"/>
      <c r="EAD303" s="208"/>
      <c r="EAE303" s="208"/>
      <c r="EAF303" s="208"/>
      <c r="EAG303" s="208"/>
      <c r="EAH303" s="208"/>
      <c r="EAI303" s="208"/>
      <c r="EAJ303" s="208"/>
      <c r="EAK303" s="208"/>
      <c r="EAL303" s="208"/>
      <c r="EAM303" s="208"/>
      <c r="EAN303" s="208"/>
      <c r="EAO303" s="208"/>
      <c r="EAP303" s="208"/>
      <c r="EAQ303" s="208"/>
      <c r="EAR303" s="208"/>
      <c r="EAS303" s="208"/>
      <c r="EAT303" s="208"/>
      <c r="EAU303" s="208"/>
      <c r="EAV303" s="208"/>
      <c r="EAW303" s="208"/>
      <c r="EAX303" s="208"/>
      <c r="EAY303" s="208"/>
      <c r="EAZ303" s="208"/>
      <c r="EBA303" s="208"/>
      <c r="EBB303" s="208"/>
      <c r="EBC303" s="208"/>
      <c r="EBD303" s="208"/>
      <c r="EBE303" s="208"/>
      <c r="EBF303" s="208"/>
      <c r="EBG303" s="208"/>
      <c r="EBH303" s="208"/>
      <c r="EBI303" s="208"/>
      <c r="EBJ303" s="208"/>
      <c r="EBK303" s="208"/>
      <c r="EBL303" s="208"/>
      <c r="EBM303" s="208"/>
      <c r="EBN303" s="208"/>
      <c r="EBO303" s="208"/>
      <c r="EBP303" s="208"/>
      <c r="EBQ303" s="208"/>
      <c r="EBR303" s="208"/>
      <c r="EBS303" s="208"/>
      <c r="EBT303" s="208"/>
      <c r="EBU303" s="208"/>
      <c r="EBV303" s="208"/>
      <c r="EBW303" s="208"/>
      <c r="EBX303" s="208"/>
      <c r="EBY303" s="208"/>
      <c r="EBZ303" s="208"/>
      <c r="ECA303" s="208"/>
      <c r="ECB303" s="208"/>
      <c r="ECC303" s="208"/>
      <c r="ECD303" s="208"/>
      <c r="ECE303" s="208"/>
      <c r="ECF303" s="208"/>
      <c r="ECG303" s="208"/>
      <c r="ECH303" s="208"/>
      <c r="ECI303" s="208"/>
      <c r="ECJ303" s="208"/>
      <c r="ECK303" s="208"/>
      <c r="ECL303" s="208"/>
      <c r="ECM303" s="208"/>
      <c r="ECN303" s="208"/>
      <c r="ECO303" s="208"/>
      <c r="ECP303" s="208"/>
      <c r="ECQ303" s="208"/>
      <c r="ECR303" s="208"/>
      <c r="ECS303" s="208"/>
      <c r="ECT303" s="208"/>
      <c r="ECU303" s="208"/>
      <c r="ECV303" s="208"/>
      <c r="ECW303" s="208"/>
      <c r="ECX303" s="208"/>
      <c r="ECY303" s="208"/>
      <c r="ECZ303" s="208"/>
      <c r="EDA303" s="208"/>
      <c r="EDB303" s="208"/>
      <c r="EDC303" s="208"/>
      <c r="EDD303" s="208"/>
      <c r="EDE303" s="208"/>
      <c r="EDF303" s="208"/>
      <c r="EDG303" s="208"/>
      <c r="EDH303" s="208"/>
      <c r="EDI303" s="208"/>
      <c r="EDJ303" s="208"/>
      <c r="EDK303" s="208"/>
      <c r="EDL303" s="208"/>
      <c r="EDM303" s="208"/>
      <c r="EDN303" s="208"/>
      <c r="EDO303" s="208"/>
      <c r="EDP303" s="208"/>
      <c r="EDQ303" s="208"/>
      <c r="EDR303" s="208"/>
      <c r="EDS303" s="208"/>
      <c r="EDT303" s="208"/>
      <c r="EDU303" s="208"/>
      <c r="EDV303" s="208"/>
      <c r="EDW303" s="208"/>
      <c r="EDX303" s="208"/>
      <c r="EDY303" s="208"/>
      <c r="EDZ303" s="208"/>
      <c r="EEA303" s="208"/>
      <c r="EEB303" s="208"/>
      <c r="EEC303" s="208"/>
      <c r="EED303" s="208"/>
      <c r="EEE303" s="208"/>
      <c r="EEF303" s="208"/>
      <c r="EEG303" s="208"/>
      <c r="EEH303" s="208"/>
      <c r="EEI303" s="208"/>
      <c r="EEJ303" s="208"/>
      <c r="EEK303" s="208"/>
      <c r="EEL303" s="208"/>
      <c r="EEM303" s="208"/>
      <c r="EEN303" s="208"/>
      <c r="EEO303" s="208"/>
      <c r="EEP303" s="208"/>
      <c r="EEQ303" s="208"/>
      <c r="EER303" s="208"/>
      <c r="EES303" s="208"/>
      <c r="EET303" s="208"/>
      <c r="EEU303" s="208"/>
      <c r="EEV303" s="208"/>
      <c r="EEW303" s="208"/>
      <c r="EEX303" s="208"/>
      <c r="EEY303" s="208"/>
      <c r="EEZ303" s="208"/>
      <c r="EFA303" s="208"/>
      <c r="EFB303" s="208"/>
      <c r="EFC303" s="208"/>
      <c r="EFD303" s="208"/>
      <c r="EFE303" s="208"/>
      <c r="EFF303" s="208"/>
      <c r="EFG303" s="208"/>
      <c r="EFH303" s="208"/>
      <c r="EFI303" s="208"/>
      <c r="EFJ303" s="208"/>
      <c r="EFK303" s="208"/>
      <c r="EFL303" s="208"/>
      <c r="EFM303" s="208"/>
      <c r="EFN303" s="208"/>
      <c r="EFO303" s="208"/>
      <c r="EFP303" s="208"/>
      <c r="EFQ303" s="208"/>
      <c r="EFR303" s="208"/>
      <c r="EFS303" s="208"/>
      <c r="EFT303" s="208"/>
      <c r="EFU303" s="208"/>
      <c r="EFV303" s="208"/>
      <c r="EFW303" s="208"/>
      <c r="EFX303" s="208"/>
      <c r="EFY303" s="208"/>
      <c r="EFZ303" s="208"/>
      <c r="EGA303" s="208"/>
      <c r="EGB303" s="208"/>
      <c r="EGC303" s="208"/>
      <c r="EGD303" s="208"/>
      <c r="EGE303" s="208"/>
      <c r="EGF303" s="208"/>
      <c r="EGG303" s="208"/>
      <c r="EGH303" s="208"/>
      <c r="EGI303" s="208"/>
      <c r="EGJ303" s="208"/>
      <c r="EGK303" s="208"/>
      <c r="EGL303" s="208"/>
      <c r="EGM303" s="208"/>
      <c r="EGN303" s="208"/>
      <c r="EGO303" s="208"/>
      <c r="EGP303" s="208"/>
      <c r="EGQ303" s="208"/>
      <c r="EGR303" s="208"/>
      <c r="EGS303" s="208"/>
      <c r="EGT303" s="208"/>
      <c r="EGU303" s="208"/>
      <c r="EGV303" s="208"/>
      <c r="EGW303" s="208"/>
      <c r="EGX303" s="208"/>
      <c r="EGY303" s="208"/>
      <c r="EGZ303" s="208"/>
      <c r="EHA303" s="208"/>
      <c r="EHB303" s="208"/>
      <c r="EHC303" s="208"/>
      <c r="EHD303" s="208"/>
      <c r="EHE303" s="208"/>
      <c r="EHF303" s="208"/>
      <c r="EHG303" s="208"/>
      <c r="EHH303" s="208"/>
      <c r="EHI303" s="208"/>
      <c r="EHJ303" s="208"/>
      <c r="EHK303" s="208"/>
      <c r="EHL303" s="208"/>
      <c r="EHM303" s="208"/>
      <c r="EHN303" s="208"/>
      <c r="EHO303" s="208"/>
      <c r="EHP303" s="208"/>
      <c r="EHQ303" s="208"/>
      <c r="EHR303" s="208"/>
      <c r="EHS303" s="208"/>
      <c r="EHT303" s="208"/>
      <c r="EHU303" s="208"/>
      <c r="EHV303" s="208"/>
      <c r="EHW303" s="208"/>
      <c r="EHX303" s="208"/>
      <c r="EHY303" s="208"/>
      <c r="EHZ303" s="208"/>
      <c r="EIA303" s="208"/>
      <c r="EIB303" s="208"/>
      <c r="EIC303" s="208"/>
      <c r="EID303" s="208"/>
      <c r="EIE303" s="208"/>
      <c r="EIF303" s="208"/>
      <c r="EIG303" s="208"/>
      <c r="EIH303" s="208"/>
      <c r="EII303" s="208"/>
      <c r="EIJ303" s="208"/>
      <c r="EIK303" s="208"/>
      <c r="EIL303" s="208"/>
      <c r="EIM303" s="208"/>
      <c r="EIN303" s="208"/>
      <c r="EIO303" s="208"/>
      <c r="EIP303" s="208"/>
      <c r="EIQ303" s="208"/>
      <c r="EIR303" s="208"/>
      <c r="EIS303" s="208"/>
      <c r="EIT303" s="208"/>
      <c r="EIU303" s="208"/>
      <c r="EIV303" s="208"/>
      <c r="EIW303" s="208"/>
      <c r="EIX303" s="208"/>
      <c r="EIY303" s="208"/>
      <c r="EIZ303" s="208"/>
      <c r="EJA303" s="208"/>
      <c r="EJB303" s="208"/>
      <c r="EJC303" s="208"/>
      <c r="EJD303" s="208"/>
      <c r="EJE303" s="208"/>
      <c r="EJF303" s="208"/>
      <c r="EJG303" s="208"/>
      <c r="EJH303" s="208"/>
      <c r="EJI303" s="208"/>
      <c r="EJJ303" s="208"/>
      <c r="EJK303" s="208"/>
      <c r="EJL303" s="208"/>
      <c r="EJM303" s="208"/>
      <c r="EJN303" s="208"/>
      <c r="EJO303" s="208"/>
      <c r="EJP303" s="208"/>
      <c r="EJQ303" s="208"/>
      <c r="EJR303" s="208"/>
      <c r="EJS303" s="208"/>
      <c r="EJT303" s="208"/>
      <c r="EJU303" s="208"/>
      <c r="EJV303" s="208"/>
      <c r="EJW303" s="208"/>
      <c r="EJX303" s="208"/>
      <c r="EJY303" s="208"/>
      <c r="EJZ303" s="208"/>
      <c r="EKA303" s="208"/>
      <c r="EKB303" s="208"/>
      <c r="EKC303" s="208"/>
      <c r="EKD303" s="208"/>
      <c r="EKE303" s="208"/>
      <c r="EKF303" s="208"/>
      <c r="EKG303" s="208"/>
      <c r="EKH303" s="208"/>
      <c r="EKI303" s="208"/>
      <c r="EKJ303" s="208"/>
      <c r="EKK303" s="208"/>
      <c r="EKL303" s="208"/>
      <c r="EKM303" s="208"/>
      <c r="EKN303" s="208"/>
      <c r="EKO303" s="208"/>
      <c r="EKP303" s="208"/>
      <c r="EKQ303" s="208"/>
      <c r="EKR303" s="208"/>
      <c r="EKS303" s="208"/>
      <c r="EKT303" s="208"/>
      <c r="EKU303" s="208"/>
      <c r="EKV303" s="208"/>
      <c r="EKW303" s="208"/>
      <c r="EKX303" s="208"/>
      <c r="EKY303" s="208"/>
      <c r="EKZ303" s="208"/>
      <c r="ELA303" s="208"/>
      <c r="ELB303" s="208"/>
      <c r="ELC303" s="208"/>
      <c r="ELD303" s="208"/>
      <c r="ELE303" s="208"/>
      <c r="ELF303" s="208"/>
      <c r="ELG303" s="208"/>
      <c r="ELH303" s="208"/>
      <c r="ELI303" s="208"/>
      <c r="ELJ303" s="208"/>
      <c r="ELK303" s="208"/>
      <c r="ELL303" s="208"/>
      <c r="ELM303" s="208"/>
      <c r="ELN303" s="208"/>
      <c r="ELO303" s="208"/>
      <c r="ELP303" s="208"/>
      <c r="ELQ303" s="208"/>
      <c r="ELR303" s="208"/>
      <c r="ELS303" s="208"/>
      <c r="ELT303" s="208"/>
      <c r="ELU303" s="208"/>
      <c r="ELV303" s="208"/>
      <c r="ELW303" s="208"/>
      <c r="ELX303" s="208"/>
      <c r="ELY303" s="208"/>
      <c r="ELZ303" s="208"/>
      <c r="EMA303" s="208"/>
      <c r="EMB303" s="208"/>
      <c r="EMC303" s="208"/>
      <c r="EMD303" s="208"/>
      <c r="EME303" s="208"/>
      <c r="EMF303" s="208"/>
      <c r="EMG303" s="208"/>
      <c r="EMH303" s="208"/>
      <c r="EMI303" s="208"/>
      <c r="EMJ303" s="208"/>
      <c r="EMK303" s="208"/>
      <c r="EML303" s="208"/>
      <c r="EMM303" s="208"/>
      <c r="EMN303" s="208"/>
      <c r="EMO303" s="208"/>
      <c r="EMP303" s="208"/>
      <c r="EMQ303" s="208"/>
      <c r="EMR303" s="208"/>
      <c r="EMS303" s="208"/>
      <c r="EMT303" s="208"/>
      <c r="EMU303" s="208"/>
      <c r="EMV303" s="208"/>
      <c r="EMW303" s="208"/>
      <c r="EMX303" s="208"/>
      <c r="EMY303" s="208"/>
      <c r="EMZ303" s="208"/>
      <c r="ENA303" s="208"/>
      <c r="ENB303" s="208"/>
      <c r="ENC303" s="208"/>
      <c r="END303" s="208"/>
      <c r="ENE303" s="208"/>
      <c r="ENF303" s="208"/>
      <c r="ENG303" s="208"/>
      <c r="ENH303" s="208"/>
      <c r="ENI303" s="208"/>
      <c r="ENJ303" s="208"/>
      <c r="ENK303" s="208"/>
      <c r="ENL303" s="208"/>
      <c r="ENM303" s="208"/>
      <c r="ENN303" s="208"/>
      <c r="ENO303" s="208"/>
      <c r="ENP303" s="208"/>
      <c r="ENQ303" s="208"/>
      <c r="ENR303" s="208"/>
      <c r="ENS303" s="208"/>
      <c r="ENT303" s="208"/>
      <c r="ENU303" s="208"/>
      <c r="ENV303" s="208"/>
      <c r="ENW303" s="208"/>
      <c r="ENX303" s="208"/>
      <c r="ENY303" s="208"/>
      <c r="ENZ303" s="208"/>
      <c r="EOA303" s="208"/>
      <c r="EOB303" s="208"/>
      <c r="EOC303" s="208"/>
      <c r="EOD303" s="208"/>
      <c r="EOE303" s="208"/>
      <c r="EOF303" s="208"/>
      <c r="EOG303" s="208"/>
      <c r="EOH303" s="208"/>
      <c r="EOI303" s="208"/>
      <c r="EOJ303" s="208"/>
      <c r="EOK303" s="208"/>
      <c r="EOL303" s="208"/>
      <c r="EOM303" s="208"/>
      <c r="EON303" s="208"/>
      <c r="EOO303" s="208"/>
      <c r="EOP303" s="208"/>
      <c r="EOQ303" s="208"/>
      <c r="EOR303" s="208"/>
      <c r="EOS303" s="208"/>
      <c r="EOT303" s="208"/>
      <c r="EOU303" s="208"/>
      <c r="EOV303" s="208"/>
      <c r="EOW303" s="208"/>
      <c r="EOX303" s="208"/>
      <c r="EOY303" s="208"/>
      <c r="EOZ303" s="208"/>
      <c r="EPA303" s="208"/>
      <c r="EPB303" s="208"/>
      <c r="EPC303" s="208"/>
      <c r="EPD303" s="208"/>
      <c r="EPE303" s="208"/>
      <c r="EPF303" s="208"/>
      <c r="EPG303" s="208"/>
      <c r="EPH303" s="208"/>
      <c r="EPI303" s="208"/>
      <c r="EPJ303" s="208"/>
      <c r="EPK303" s="208"/>
      <c r="EPL303" s="208"/>
      <c r="EPM303" s="208"/>
      <c r="EPN303" s="208"/>
      <c r="EPO303" s="208"/>
      <c r="EPP303" s="208"/>
      <c r="EPQ303" s="208"/>
      <c r="EPR303" s="208"/>
      <c r="EPS303" s="208"/>
      <c r="EPT303" s="208"/>
      <c r="EPU303" s="208"/>
      <c r="EPV303" s="208"/>
      <c r="EPW303" s="208"/>
      <c r="EPX303" s="208"/>
      <c r="EPY303" s="208"/>
      <c r="EPZ303" s="208"/>
      <c r="EQA303" s="208"/>
      <c r="EQB303" s="208"/>
      <c r="EQC303" s="208"/>
      <c r="EQD303" s="208"/>
      <c r="EQE303" s="208"/>
      <c r="EQF303" s="208"/>
      <c r="EQG303" s="208"/>
      <c r="EQH303" s="208"/>
      <c r="EQI303" s="208"/>
      <c r="EQJ303" s="208"/>
      <c r="EQK303" s="208"/>
      <c r="EQL303" s="208"/>
      <c r="EQM303" s="208"/>
      <c r="EQN303" s="208"/>
      <c r="EQO303" s="208"/>
      <c r="EQP303" s="208"/>
      <c r="EQQ303" s="208"/>
      <c r="EQR303" s="208"/>
      <c r="EQS303" s="208"/>
      <c r="EQT303" s="208"/>
      <c r="EQU303" s="208"/>
      <c r="EQV303" s="208"/>
      <c r="EQW303" s="208"/>
      <c r="EQX303" s="208"/>
      <c r="EQY303" s="208"/>
      <c r="EQZ303" s="208"/>
      <c r="ERA303" s="208"/>
      <c r="ERB303" s="208"/>
      <c r="ERC303" s="208"/>
      <c r="ERD303" s="208"/>
      <c r="ERE303" s="208"/>
      <c r="ERF303" s="208"/>
      <c r="ERG303" s="208"/>
      <c r="ERH303" s="208"/>
      <c r="ERI303" s="208"/>
      <c r="ERJ303" s="208"/>
      <c r="ERK303" s="208"/>
      <c r="ERL303" s="208"/>
      <c r="ERM303" s="208"/>
      <c r="ERN303" s="208"/>
      <c r="ERO303" s="208"/>
      <c r="ERP303" s="208"/>
      <c r="ERQ303" s="208"/>
      <c r="ERR303" s="208"/>
      <c r="ERS303" s="208"/>
      <c r="ERT303" s="208"/>
      <c r="ERU303" s="208"/>
      <c r="ERV303" s="208"/>
      <c r="ERW303" s="208"/>
      <c r="ERX303" s="208"/>
      <c r="ERY303" s="208"/>
      <c r="ERZ303" s="208"/>
      <c r="ESA303" s="208"/>
      <c r="ESB303" s="208"/>
      <c r="ESC303" s="208"/>
      <c r="ESD303" s="208"/>
      <c r="ESE303" s="208"/>
      <c r="ESF303" s="208"/>
      <c r="ESG303" s="208"/>
      <c r="ESH303" s="208"/>
      <c r="ESI303" s="208"/>
      <c r="ESJ303" s="208"/>
      <c r="ESK303" s="208"/>
      <c r="ESL303" s="208"/>
      <c r="ESM303" s="208"/>
      <c r="ESN303" s="208"/>
      <c r="ESO303" s="208"/>
      <c r="ESP303" s="208"/>
      <c r="ESQ303" s="208"/>
      <c r="ESR303" s="208"/>
      <c r="ESS303" s="208"/>
      <c r="EST303" s="208"/>
      <c r="ESU303" s="208"/>
      <c r="ESV303" s="208"/>
      <c r="ESW303" s="208"/>
      <c r="ESX303" s="208"/>
      <c r="ESY303" s="208"/>
      <c r="ESZ303" s="208"/>
      <c r="ETA303" s="208"/>
      <c r="ETB303" s="208"/>
      <c r="ETC303" s="208"/>
      <c r="ETD303" s="208"/>
      <c r="ETE303" s="208"/>
      <c r="ETF303" s="208"/>
      <c r="ETG303" s="208"/>
      <c r="ETH303" s="208"/>
      <c r="ETI303" s="208"/>
      <c r="ETJ303" s="208"/>
      <c r="ETK303" s="208"/>
      <c r="ETL303" s="208"/>
      <c r="ETM303" s="208"/>
      <c r="ETN303" s="208"/>
      <c r="ETO303" s="208"/>
      <c r="ETP303" s="208"/>
      <c r="ETQ303" s="208"/>
      <c r="ETR303" s="208"/>
      <c r="ETS303" s="208"/>
      <c r="ETT303" s="208"/>
      <c r="ETU303" s="208"/>
      <c r="ETV303" s="208"/>
      <c r="ETW303" s="208"/>
      <c r="ETX303" s="208"/>
      <c r="ETY303" s="208"/>
      <c r="ETZ303" s="208"/>
      <c r="EUA303" s="208"/>
      <c r="EUB303" s="208"/>
      <c r="EUC303" s="208"/>
      <c r="EUD303" s="208"/>
      <c r="EUE303" s="208"/>
      <c r="EUF303" s="208"/>
      <c r="EUG303" s="208"/>
      <c r="EUH303" s="208"/>
      <c r="EUI303" s="208"/>
      <c r="EUJ303" s="208"/>
      <c r="EUK303" s="208"/>
      <c r="EUL303" s="208"/>
      <c r="EUM303" s="208"/>
      <c r="EUN303" s="208"/>
      <c r="EUO303" s="208"/>
      <c r="EUP303" s="208"/>
      <c r="EUQ303" s="208"/>
      <c r="EUR303" s="208"/>
      <c r="EUS303" s="208"/>
      <c r="EUT303" s="208"/>
      <c r="EUU303" s="208"/>
      <c r="EUV303" s="208"/>
      <c r="EUW303" s="208"/>
      <c r="EUX303" s="208"/>
      <c r="EUY303" s="208"/>
      <c r="EUZ303" s="208"/>
      <c r="EVA303" s="208"/>
      <c r="EVB303" s="208"/>
      <c r="EVC303" s="208"/>
      <c r="EVD303" s="208"/>
      <c r="EVE303" s="208"/>
      <c r="EVF303" s="208"/>
      <c r="EVG303" s="208"/>
      <c r="EVH303" s="208"/>
      <c r="EVI303" s="208"/>
      <c r="EVJ303" s="208"/>
      <c r="EVK303" s="208"/>
      <c r="EVL303" s="208"/>
      <c r="EVM303" s="208"/>
      <c r="EVN303" s="208"/>
      <c r="EVO303" s="208"/>
      <c r="EVP303" s="208"/>
      <c r="EVQ303" s="208"/>
      <c r="EVR303" s="208"/>
      <c r="EVS303" s="208"/>
      <c r="EVT303" s="208"/>
      <c r="EVU303" s="208"/>
      <c r="EVV303" s="208"/>
      <c r="EVW303" s="208"/>
      <c r="EVX303" s="208"/>
      <c r="EVY303" s="208"/>
      <c r="EVZ303" s="208"/>
      <c r="EWA303" s="208"/>
      <c r="EWB303" s="208"/>
      <c r="EWC303" s="208"/>
      <c r="EWD303" s="208"/>
      <c r="EWE303" s="208"/>
      <c r="EWF303" s="208"/>
      <c r="EWG303" s="208"/>
      <c r="EWH303" s="208"/>
      <c r="EWI303" s="208"/>
      <c r="EWJ303" s="208"/>
      <c r="EWK303" s="208"/>
      <c r="EWL303" s="208"/>
      <c r="EWM303" s="208"/>
      <c r="EWN303" s="208"/>
      <c r="EWO303" s="208"/>
      <c r="EWP303" s="208"/>
      <c r="EWQ303" s="208"/>
      <c r="EWR303" s="208"/>
      <c r="EWS303" s="208"/>
      <c r="EWT303" s="208"/>
      <c r="EWU303" s="208"/>
      <c r="EWV303" s="208"/>
      <c r="EWW303" s="208"/>
      <c r="EWX303" s="208"/>
      <c r="EWY303" s="208"/>
      <c r="EWZ303" s="208"/>
      <c r="EXA303" s="208"/>
      <c r="EXB303" s="208"/>
      <c r="EXC303" s="208"/>
      <c r="EXD303" s="208"/>
      <c r="EXE303" s="208"/>
      <c r="EXF303" s="208"/>
      <c r="EXG303" s="208"/>
      <c r="EXH303" s="208"/>
      <c r="EXI303" s="208"/>
      <c r="EXJ303" s="208"/>
      <c r="EXK303" s="208"/>
      <c r="EXL303" s="208"/>
      <c r="EXM303" s="208"/>
      <c r="EXN303" s="208"/>
      <c r="EXO303" s="208"/>
      <c r="EXP303" s="208"/>
      <c r="EXQ303" s="208"/>
      <c r="EXR303" s="208"/>
      <c r="EXS303" s="208"/>
      <c r="EXT303" s="208"/>
      <c r="EXU303" s="208"/>
      <c r="EXV303" s="208"/>
      <c r="EXW303" s="208"/>
      <c r="EXX303" s="208"/>
      <c r="EXY303" s="208"/>
      <c r="EXZ303" s="208"/>
      <c r="EYA303" s="208"/>
      <c r="EYB303" s="208"/>
      <c r="EYC303" s="208"/>
      <c r="EYD303" s="208"/>
      <c r="EYE303" s="208"/>
      <c r="EYF303" s="208"/>
      <c r="EYG303" s="208"/>
      <c r="EYH303" s="208"/>
      <c r="EYI303" s="208"/>
      <c r="EYJ303" s="208"/>
      <c r="EYK303" s="208"/>
      <c r="EYL303" s="208"/>
      <c r="EYM303" s="208"/>
      <c r="EYN303" s="208"/>
      <c r="EYO303" s="208"/>
      <c r="EYP303" s="208"/>
      <c r="EYQ303" s="208"/>
      <c r="EYR303" s="208"/>
      <c r="EYS303" s="208"/>
      <c r="EYT303" s="208"/>
      <c r="EYU303" s="208"/>
      <c r="EYV303" s="208"/>
      <c r="EYW303" s="208"/>
      <c r="EYX303" s="208"/>
      <c r="EYY303" s="208"/>
      <c r="EYZ303" s="208"/>
      <c r="EZA303" s="208"/>
      <c r="EZB303" s="208"/>
      <c r="EZC303" s="208"/>
      <c r="EZD303" s="208"/>
      <c r="EZE303" s="208"/>
      <c r="EZF303" s="208"/>
      <c r="EZG303" s="208"/>
      <c r="EZH303" s="208"/>
      <c r="EZI303" s="208"/>
      <c r="EZJ303" s="208"/>
      <c r="EZK303" s="208"/>
      <c r="EZL303" s="208"/>
      <c r="EZM303" s="208"/>
      <c r="EZN303" s="208"/>
      <c r="EZO303" s="208"/>
      <c r="EZP303" s="208"/>
      <c r="EZQ303" s="208"/>
      <c r="EZR303" s="208"/>
      <c r="EZS303" s="208"/>
      <c r="EZT303" s="208"/>
      <c r="EZU303" s="208"/>
      <c r="EZV303" s="208"/>
      <c r="EZW303" s="208"/>
      <c r="EZX303" s="208"/>
      <c r="EZY303" s="208"/>
      <c r="EZZ303" s="208"/>
      <c r="FAA303" s="208"/>
      <c r="FAB303" s="208"/>
      <c r="FAC303" s="208"/>
      <c r="FAD303" s="208"/>
      <c r="FAE303" s="208"/>
      <c r="FAF303" s="208"/>
      <c r="FAG303" s="208"/>
      <c r="FAH303" s="208"/>
      <c r="FAI303" s="208"/>
      <c r="FAJ303" s="208"/>
      <c r="FAK303" s="208"/>
      <c r="FAL303" s="208"/>
      <c r="FAM303" s="208"/>
      <c r="FAN303" s="208"/>
      <c r="FAO303" s="208"/>
      <c r="FAP303" s="208"/>
      <c r="FAQ303" s="208"/>
      <c r="FAR303" s="208"/>
      <c r="FAS303" s="208"/>
      <c r="FAT303" s="208"/>
      <c r="FAU303" s="208"/>
      <c r="FAV303" s="208"/>
      <c r="FAW303" s="208"/>
      <c r="FAX303" s="208"/>
      <c r="FAY303" s="208"/>
      <c r="FAZ303" s="208"/>
      <c r="FBA303" s="208"/>
      <c r="FBB303" s="208"/>
      <c r="FBC303" s="208"/>
      <c r="FBD303" s="208"/>
      <c r="FBE303" s="208"/>
      <c r="FBF303" s="208"/>
      <c r="FBG303" s="208"/>
      <c r="FBH303" s="208"/>
      <c r="FBI303" s="208"/>
      <c r="FBJ303" s="208"/>
      <c r="FBK303" s="208"/>
      <c r="FBL303" s="208"/>
      <c r="FBM303" s="208"/>
      <c r="FBN303" s="208"/>
      <c r="FBO303" s="208"/>
      <c r="FBP303" s="208"/>
      <c r="FBQ303" s="208"/>
      <c r="FBR303" s="208"/>
      <c r="FBS303" s="208"/>
      <c r="FBT303" s="208"/>
      <c r="FBU303" s="208"/>
      <c r="FBV303" s="208"/>
      <c r="FBW303" s="208"/>
      <c r="FBX303" s="208"/>
      <c r="FBY303" s="208"/>
      <c r="FBZ303" s="208"/>
      <c r="FCA303" s="208"/>
      <c r="FCB303" s="208"/>
      <c r="FCC303" s="208"/>
      <c r="FCD303" s="208"/>
      <c r="FCE303" s="208"/>
      <c r="FCF303" s="208"/>
      <c r="FCG303" s="208"/>
      <c r="FCH303" s="208"/>
      <c r="FCI303" s="208"/>
      <c r="FCJ303" s="208"/>
      <c r="FCK303" s="208"/>
      <c r="FCL303" s="208"/>
      <c r="FCM303" s="208"/>
      <c r="FCN303" s="208"/>
      <c r="FCO303" s="208"/>
      <c r="FCP303" s="208"/>
      <c r="FCQ303" s="208"/>
      <c r="FCR303" s="208"/>
      <c r="FCS303" s="208"/>
      <c r="FCT303" s="208"/>
      <c r="FCU303" s="208"/>
      <c r="FCV303" s="208"/>
      <c r="FCW303" s="208"/>
      <c r="FCX303" s="208"/>
      <c r="FCY303" s="208"/>
      <c r="FCZ303" s="208"/>
      <c r="FDA303" s="208"/>
      <c r="FDB303" s="208"/>
      <c r="FDC303" s="208"/>
      <c r="FDD303" s="208"/>
      <c r="FDE303" s="208"/>
      <c r="FDF303" s="208"/>
      <c r="FDG303" s="208"/>
      <c r="FDH303" s="208"/>
      <c r="FDI303" s="208"/>
      <c r="FDJ303" s="208"/>
      <c r="FDK303" s="208"/>
      <c r="FDL303" s="208"/>
      <c r="FDM303" s="208"/>
      <c r="FDN303" s="208"/>
      <c r="FDO303" s="208"/>
      <c r="FDP303" s="208"/>
      <c r="FDQ303" s="208"/>
      <c r="FDR303" s="208"/>
      <c r="FDS303" s="208"/>
      <c r="FDT303" s="208"/>
      <c r="FDU303" s="208"/>
      <c r="FDV303" s="208"/>
      <c r="FDW303" s="208"/>
      <c r="FDX303" s="208"/>
      <c r="FDY303" s="208"/>
      <c r="FDZ303" s="208"/>
      <c r="FEA303" s="208"/>
      <c r="FEB303" s="208"/>
      <c r="FEC303" s="208"/>
      <c r="FED303" s="208"/>
      <c r="FEE303" s="208"/>
      <c r="FEF303" s="208"/>
      <c r="FEG303" s="208"/>
      <c r="FEH303" s="208"/>
      <c r="FEI303" s="208"/>
      <c r="FEJ303" s="208"/>
      <c r="FEK303" s="208"/>
      <c r="FEL303" s="208"/>
      <c r="FEM303" s="208"/>
      <c r="FEN303" s="208"/>
      <c r="FEO303" s="208"/>
      <c r="FEP303" s="208"/>
      <c r="FEQ303" s="208"/>
      <c r="FER303" s="208"/>
      <c r="FES303" s="208"/>
      <c r="FET303" s="208"/>
      <c r="FEU303" s="208"/>
      <c r="FEV303" s="208"/>
      <c r="FEW303" s="208"/>
      <c r="FEX303" s="208"/>
      <c r="FEY303" s="208"/>
      <c r="FEZ303" s="208"/>
      <c r="FFA303" s="208"/>
      <c r="FFB303" s="208"/>
      <c r="FFC303" s="208"/>
      <c r="FFD303" s="208"/>
      <c r="FFE303" s="208"/>
      <c r="FFF303" s="208"/>
      <c r="FFG303" s="208"/>
      <c r="FFH303" s="208"/>
      <c r="FFI303" s="208"/>
      <c r="FFJ303" s="208"/>
      <c r="FFK303" s="208"/>
      <c r="FFL303" s="208"/>
      <c r="FFM303" s="208"/>
      <c r="FFN303" s="208"/>
      <c r="FFO303" s="208"/>
      <c r="FFP303" s="208"/>
      <c r="FFQ303" s="208"/>
      <c r="FFR303" s="208"/>
      <c r="FFS303" s="208"/>
      <c r="FFT303" s="208"/>
      <c r="FFU303" s="208"/>
      <c r="FFV303" s="208"/>
      <c r="FFW303" s="208"/>
      <c r="FFX303" s="208"/>
      <c r="FFY303" s="208"/>
      <c r="FFZ303" s="208"/>
      <c r="FGA303" s="208"/>
      <c r="FGB303" s="208"/>
      <c r="FGC303" s="208"/>
      <c r="FGD303" s="208"/>
      <c r="FGE303" s="208"/>
      <c r="FGF303" s="208"/>
      <c r="FGG303" s="208"/>
      <c r="FGH303" s="208"/>
      <c r="FGI303" s="208"/>
      <c r="FGJ303" s="208"/>
      <c r="FGK303" s="208"/>
      <c r="FGL303" s="208"/>
      <c r="FGM303" s="208"/>
      <c r="FGN303" s="208"/>
      <c r="FGO303" s="208"/>
      <c r="FGP303" s="208"/>
      <c r="FGQ303" s="208"/>
      <c r="FGR303" s="208"/>
      <c r="FGS303" s="208"/>
      <c r="FGT303" s="208"/>
      <c r="FGU303" s="208"/>
      <c r="FGV303" s="208"/>
      <c r="FGW303" s="208"/>
      <c r="FGX303" s="208"/>
      <c r="FGY303" s="208"/>
      <c r="FGZ303" s="208"/>
      <c r="FHA303" s="208"/>
      <c r="FHB303" s="208"/>
      <c r="FHC303" s="208"/>
      <c r="FHD303" s="208"/>
      <c r="FHE303" s="208"/>
      <c r="FHF303" s="208"/>
      <c r="FHG303" s="208"/>
      <c r="FHH303" s="208"/>
      <c r="FHI303" s="208"/>
      <c r="FHJ303" s="208"/>
      <c r="FHK303" s="208"/>
      <c r="FHL303" s="208"/>
      <c r="FHM303" s="208"/>
      <c r="FHN303" s="208"/>
      <c r="FHO303" s="208"/>
      <c r="FHP303" s="208"/>
      <c r="FHQ303" s="208"/>
      <c r="FHR303" s="208"/>
      <c r="FHS303" s="208"/>
      <c r="FHT303" s="208"/>
      <c r="FHU303" s="208"/>
      <c r="FHV303" s="208"/>
      <c r="FHW303" s="208"/>
      <c r="FHX303" s="208"/>
      <c r="FHY303" s="208"/>
      <c r="FHZ303" s="208"/>
      <c r="FIA303" s="208"/>
      <c r="FIB303" s="208"/>
      <c r="FIC303" s="208"/>
      <c r="FID303" s="208"/>
      <c r="FIE303" s="208"/>
      <c r="FIF303" s="208"/>
      <c r="FIG303" s="208"/>
      <c r="FIH303" s="208"/>
      <c r="FII303" s="208"/>
      <c r="FIJ303" s="208"/>
      <c r="FIK303" s="208"/>
      <c r="FIL303" s="208"/>
      <c r="FIM303" s="208"/>
      <c r="FIN303" s="208"/>
      <c r="FIO303" s="208"/>
      <c r="FIP303" s="208"/>
      <c r="FIQ303" s="208"/>
      <c r="FIR303" s="208"/>
      <c r="FIS303" s="208"/>
      <c r="FIT303" s="208"/>
      <c r="FIU303" s="208"/>
      <c r="FIV303" s="208"/>
      <c r="FIW303" s="208"/>
      <c r="FIX303" s="208"/>
      <c r="FIY303" s="208"/>
      <c r="FIZ303" s="208"/>
      <c r="FJA303" s="208"/>
      <c r="FJB303" s="208"/>
      <c r="FJC303" s="208"/>
      <c r="FJD303" s="208"/>
      <c r="FJE303" s="208"/>
      <c r="FJF303" s="208"/>
      <c r="FJG303" s="208"/>
      <c r="FJH303" s="208"/>
      <c r="FJI303" s="208"/>
      <c r="FJJ303" s="208"/>
      <c r="FJK303" s="208"/>
      <c r="FJL303" s="208"/>
      <c r="FJM303" s="208"/>
      <c r="FJN303" s="208"/>
      <c r="FJO303" s="208"/>
      <c r="FJP303" s="208"/>
      <c r="FJQ303" s="208"/>
      <c r="FJR303" s="208"/>
      <c r="FJS303" s="208"/>
      <c r="FJT303" s="208"/>
      <c r="FJU303" s="208"/>
      <c r="FJV303" s="208"/>
      <c r="FJW303" s="208"/>
      <c r="FJX303" s="208"/>
      <c r="FJY303" s="208"/>
      <c r="FJZ303" s="208"/>
      <c r="FKA303" s="208"/>
      <c r="FKB303" s="208"/>
      <c r="FKC303" s="208"/>
      <c r="FKD303" s="208"/>
      <c r="FKE303" s="208"/>
      <c r="FKF303" s="208"/>
      <c r="FKG303" s="208"/>
      <c r="FKH303" s="208"/>
      <c r="FKI303" s="208"/>
      <c r="FKJ303" s="208"/>
      <c r="FKK303" s="208"/>
      <c r="FKL303" s="208"/>
      <c r="FKM303" s="208"/>
      <c r="FKN303" s="208"/>
      <c r="FKO303" s="208"/>
      <c r="FKP303" s="208"/>
      <c r="FKQ303" s="208"/>
      <c r="FKR303" s="208"/>
      <c r="FKS303" s="208"/>
      <c r="FKT303" s="208"/>
      <c r="FKU303" s="208"/>
      <c r="FKV303" s="208"/>
      <c r="FKW303" s="208"/>
      <c r="FKX303" s="208"/>
      <c r="FKY303" s="208"/>
      <c r="FKZ303" s="208"/>
      <c r="FLA303" s="208"/>
      <c r="FLB303" s="208"/>
      <c r="FLC303" s="208"/>
      <c r="FLD303" s="208"/>
      <c r="FLE303" s="208"/>
      <c r="FLF303" s="208"/>
      <c r="FLG303" s="208"/>
      <c r="FLH303" s="208"/>
      <c r="FLI303" s="208"/>
      <c r="FLJ303" s="208"/>
      <c r="FLK303" s="208"/>
      <c r="FLL303" s="208"/>
      <c r="FLM303" s="208"/>
      <c r="FLN303" s="208"/>
      <c r="FLO303" s="208"/>
      <c r="FLP303" s="208"/>
      <c r="FLQ303" s="208"/>
      <c r="FLR303" s="208"/>
      <c r="FLS303" s="208"/>
      <c r="FLT303" s="208"/>
      <c r="FLU303" s="208"/>
      <c r="FLV303" s="208"/>
      <c r="FLW303" s="208"/>
      <c r="FLX303" s="208"/>
      <c r="FLY303" s="208"/>
      <c r="FLZ303" s="208"/>
      <c r="FMA303" s="208"/>
      <c r="FMB303" s="208"/>
      <c r="FMC303" s="208"/>
      <c r="FMD303" s="208"/>
      <c r="FME303" s="208"/>
      <c r="FMF303" s="208"/>
      <c r="FMG303" s="208"/>
      <c r="FMH303" s="208"/>
      <c r="FMI303" s="208"/>
      <c r="FMJ303" s="208"/>
      <c r="FMK303" s="208"/>
      <c r="FML303" s="208"/>
      <c r="FMM303" s="208"/>
      <c r="FMN303" s="208"/>
      <c r="FMO303" s="208"/>
      <c r="FMP303" s="208"/>
      <c r="FMQ303" s="208"/>
      <c r="FMR303" s="208"/>
      <c r="FMS303" s="208"/>
      <c r="FMT303" s="208"/>
      <c r="FMU303" s="208"/>
      <c r="FMV303" s="208"/>
      <c r="FMW303" s="208"/>
      <c r="FMX303" s="208"/>
      <c r="FMY303" s="208"/>
      <c r="FMZ303" s="208"/>
      <c r="FNA303" s="208"/>
      <c r="FNB303" s="208"/>
      <c r="FNC303" s="208"/>
      <c r="FND303" s="208"/>
      <c r="FNE303" s="208"/>
      <c r="FNF303" s="208"/>
      <c r="FNG303" s="208"/>
      <c r="FNH303" s="208"/>
      <c r="FNI303" s="208"/>
      <c r="FNJ303" s="208"/>
      <c r="FNK303" s="208"/>
      <c r="FNL303" s="208"/>
      <c r="FNM303" s="208"/>
      <c r="FNN303" s="208"/>
      <c r="FNO303" s="208"/>
      <c r="FNP303" s="208"/>
      <c r="FNQ303" s="208"/>
      <c r="FNR303" s="208"/>
      <c r="FNS303" s="208"/>
      <c r="FNT303" s="208"/>
      <c r="FNU303" s="208"/>
      <c r="FNV303" s="208"/>
      <c r="FNW303" s="208"/>
      <c r="FNX303" s="208"/>
      <c r="FNY303" s="208"/>
      <c r="FNZ303" s="208"/>
      <c r="FOA303" s="208"/>
      <c r="FOB303" s="208"/>
      <c r="FOC303" s="208"/>
      <c r="FOD303" s="208"/>
      <c r="FOE303" s="208"/>
      <c r="FOF303" s="208"/>
      <c r="FOG303" s="208"/>
      <c r="FOH303" s="208"/>
      <c r="FOI303" s="208"/>
      <c r="FOJ303" s="208"/>
      <c r="FOK303" s="208"/>
      <c r="FOL303" s="208"/>
      <c r="FOM303" s="208"/>
      <c r="FON303" s="208"/>
      <c r="FOO303" s="208"/>
      <c r="FOP303" s="208"/>
      <c r="FOQ303" s="208"/>
      <c r="FOR303" s="208"/>
      <c r="FOS303" s="208"/>
      <c r="FOT303" s="208"/>
      <c r="FOU303" s="208"/>
      <c r="FOV303" s="208"/>
      <c r="FOW303" s="208"/>
      <c r="FOX303" s="208"/>
      <c r="FOY303" s="208"/>
      <c r="FOZ303" s="208"/>
      <c r="FPA303" s="208"/>
      <c r="FPB303" s="208"/>
      <c r="FPC303" s="208"/>
      <c r="FPD303" s="208"/>
      <c r="FPE303" s="208"/>
      <c r="FPF303" s="208"/>
      <c r="FPG303" s="208"/>
      <c r="FPH303" s="208"/>
      <c r="FPI303" s="208"/>
      <c r="FPJ303" s="208"/>
      <c r="FPK303" s="208"/>
      <c r="FPL303" s="208"/>
      <c r="FPM303" s="208"/>
      <c r="FPN303" s="208"/>
      <c r="FPO303" s="208"/>
      <c r="FPP303" s="208"/>
      <c r="FPQ303" s="208"/>
      <c r="FPR303" s="208"/>
      <c r="FPS303" s="208"/>
      <c r="FPT303" s="208"/>
      <c r="FPU303" s="208"/>
      <c r="FPV303" s="208"/>
      <c r="FPW303" s="208"/>
      <c r="FPX303" s="208"/>
      <c r="FPY303" s="208"/>
      <c r="FPZ303" s="208"/>
      <c r="FQA303" s="208"/>
      <c r="FQB303" s="208"/>
      <c r="FQC303" s="208"/>
      <c r="FQD303" s="208"/>
      <c r="FQE303" s="208"/>
      <c r="FQF303" s="208"/>
      <c r="FQG303" s="208"/>
      <c r="FQH303" s="208"/>
      <c r="FQI303" s="208"/>
      <c r="FQJ303" s="208"/>
      <c r="FQK303" s="208"/>
      <c r="FQL303" s="208"/>
      <c r="FQM303" s="208"/>
      <c r="FQN303" s="208"/>
      <c r="FQO303" s="208"/>
      <c r="FQP303" s="208"/>
      <c r="FQQ303" s="208"/>
      <c r="FQR303" s="208"/>
      <c r="FQS303" s="208"/>
      <c r="FQT303" s="208"/>
      <c r="FQU303" s="208"/>
      <c r="FQV303" s="208"/>
      <c r="FQW303" s="208"/>
      <c r="FQX303" s="208"/>
      <c r="FQY303" s="208"/>
      <c r="FQZ303" s="208"/>
      <c r="FRA303" s="208"/>
      <c r="FRB303" s="208"/>
      <c r="FRC303" s="208"/>
      <c r="FRD303" s="208"/>
      <c r="FRE303" s="208"/>
      <c r="FRF303" s="208"/>
      <c r="FRG303" s="208"/>
      <c r="FRH303" s="208"/>
      <c r="FRI303" s="208"/>
      <c r="FRJ303" s="208"/>
      <c r="FRK303" s="208"/>
      <c r="FRL303" s="208"/>
      <c r="FRM303" s="208"/>
      <c r="FRN303" s="208"/>
      <c r="FRO303" s="208"/>
      <c r="FRP303" s="208"/>
      <c r="FRQ303" s="208"/>
      <c r="FRR303" s="208"/>
      <c r="FRS303" s="208"/>
      <c r="FRT303" s="208"/>
      <c r="FRU303" s="208"/>
      <c r="FRV303" s="208"/>
      <c r="FRW303" s="208"/>
      <c r="FRX303" s="208"/>
      <c r="FRY303" s="208"/>
      <c r="FRZ303" s="208"/>
      <c r="FSA303" s="208"/>
      <c r="FSB303" s="208"/>
      <c r="FSC303" s="208"/>
      <c r="FSD303" s="208"/>
      <c r="FSE303" s="208"/>
      <c r="FSF303" s="208"/>
      <c r="FSG303" s="208"/>
      <c r="FSH303" s="208"/>
      <c r="FSI303" s="208"/>
      <c r="FSJ303" s="208"/>
      <c r="FSK303" s="208"/>
      <c r="FSL303" s="208"/>
      <c r="FSM303" s="208"/>
      <c r="FSN303" s="208"/>
      <c r="FSO303" s="208"/>
      <c r="FSP303" s="208"/>
      <c r="FSQ303" s="208"/>
      <c r="FSR303" s="208"/>
      <c r="FSS303" s="208"/>
      <c r="FST303" s="208"/>
      <c r="FSU303" s="208"/>
      <c r="FSV303" s="208"/>
      <c r="FSW303" s="208"/>
      <c r="FSX303" s="208"/>
      <c r="FSY303" s="208"/>
      <c r="FSZ303" s="208"/>
      <c r="FTA303" s="208"/>
      <c r="FTB303" s="208"/>
      <c r="FTC303" s="208"/>
      <c r="FTD303" s="208"/>
      <c r="FTE303" s="208"/>
      <c r="FTF303" s="208"/>
      <c r="FTG303" s="208"/>
      <c r="FTH303" s="208"/>
      <c r="FTI303" s="208"/>
      <c r="FTJ303" s="208"/>
      <c r="FTK303" s="208"/>
      <c r="FTL303" s="208"/>
      <c r="FTM303" s="208"/>
      <c r="FTN303" s="208"/>
      <c r="FTO303" s="208"/>
      <c r="FTP303" s="208"/>
      <c r="FTQ303" s="208"/>
      <c r="FTR303" s="208"/>
      <c r="FTS303" s="208"/>
      <c r="FTT303" s="208"/>
      <c r="FTU303" s="208"/>
      <c r="FTV303" s="208"/>
      <c r="FTW303" s="208"/>
      <c r="FTX303" s="208"/>
      <c r="FTY303" s="208"/>
      <c r="FTZ303" s="208"/>
      <c r="FUA303" s="208"/>
      <c r="FUB303" s="208"/>
      <c r="FUC303" s="208"/>
      <c r="FUD303" s="208"/>
      <c r="FUE303" s="208"/>
      <c r="FUF303" s="208"/>
      <c r="FUG303" s="208"/>
      <c r="FUH303" s="208"/>
      <c r="FUI303" s="208"/>
      <c r="FUJ303" s="208"/>
      <c r="FUK303" s="208"/>
      <c r="FUL303" s="208"/>
      <c r="FUM303" s="208"/>
      <c r="FUN303" s="208"/>
      <c r="FUO303" s="208"/>
      <c r="FUP303" s="208"/>
      <c r="FUQ303" s="208"/>
      <c r="FUR303" s="208"/>
      <c r="FUS303" s="208"/>
      <c r="FUT303" s="208"/>
      <c r="FUU303" s="208"/>
      <c r="FUV303" s="208"/>
      <c r="FUW303" s="208"/>
      <c r="FUX303" s="208"/>
      <c r="FUY303" s="208"/>
      <c r="FUZ303" s="208"/>
      <c r="FVA303" s="208"/>
      <c r="FVB303" s="208"/>
      <c r="FVC303" s="208"/>
      <c r="FVD303" s="208"/>
      <c r="FVE303" s="208"/>
      <c r="FVF303" s="208"/>
      <c r="FVG303" s="208"/>
      <c r="FVH303" s="208"/>
      <c r="FVI303" s="208"/>
      <c r="FVJ303" s="208"/>
      <c r="FVK303" s="208"/>
      <c r="FVL303" s="208"/>
      <c r="FVM303" s="208"/>
      <c r="FVN303" s="208"/>
      <c r="FVO303" s="208"/>
      <c r="FVP303" s="208"/>
      <c r="FVQ303" s="208"/>
      <c r="FVR303" s="208"/>
      <c r="FVS303" s="208"/>
      <c r="FVT303" s="208"/>
      <c r="FVU303" s="208"/>
      <c r="FVV303" s="208"/>
      <c r="FVW303" s="208"/>
      <c r="FVX303" s="208"/>
      <c r="FVY303" s="208"/>
      <c r="FVZ303" s="208"/>
      <c r="FWA303" s="208"/>
      <c r="FWB303" s="208"/>
      <c r="FWC303" s="208"/>
      <c r="FWD303" s="208"/>
      <c r="FWE303" s="208"/>
      <c r="FWF303" s="208"/>
      <c r="FWG303" s="208"/>
      <c r="FWH303" s="208"/>
      <c r="FWI303" s="208"/>
      <c r="FWJ303" s="208"/>
      <c r="FWK303" s="208"/>
      <c r="FWL303" s="208"/>
      <c r="FWM303" s="208"/>
      <c r="FWN303" s="208"/>
      <c r="FWO303" s="208"/>
      <c r="FWP303" s="208"/>
      <c r="FWQ303" s="208"/>
      <c r="FWR303" s="208"/>
      <c r="FWS303" s="208"/>
      <c r="FWT303" s="208"/>
      <c r="FWU303" s="208"/>
      <c r="FWV303" s="208"/>
      <c r="FWW303" s="208"/>
      <c r="FWX303" s="208"/>
      <c r="FWY303" s="208"/>
      <c r="FWZ303" s="208"/>
      <c r="FXA303" s="208"/>
      <c r="FXB303" s="208"/>
      <c r="FXC303" s="208"/>
      <c r="FXD303" s="208"/>
      <c r="FXE303" s="208"/>
      <c r="FXF303" s="208"/>
      <c r="FXG303" s="208"/>
      <c r="FXH303" s="208"/>
      <c r="FXI303" s="208"/>
      <c r="FXJ303" s="208"/>
      <c r="FXK303" s="208"/>
      <c r="FXL303" s="208"/>
      <c r="FXM303" s="208"/>
      <c r="FXN303" s="208"/>
      <c r="FXO303" s="208"/>
      <c r="FXP303" s="208"/>
      <c r="FXQ303" s="208"/>
      <c r="FXR303" s="208"/>
      <c r="FXS303" s="208"/>
      <c r="FXT303" s="208"/>
      <c r="FXU303" s="208"/>
      <c r="FXV303" s="208"/>
      <c r="FXW303" s="208"/>
      <c r="FXX303" s="208"/>
      <c r="FXY303" s="208"/>
      <c r="FXZ303" s="208"/>
      <c r="FYA303" s="208"/>
      <c r="FYB303" s="208"/>
      <c r="FYC303" s="208"/>
      <c r="FYD303" s="208"/>
      <c r="FYE303" s="208"/>
      <c r="FYF303" s="208"/>
      <c r="FYG303" s="208"/>
      <c r="FYH303" s="208"/>
      <c r="FYI303" s="208"/>
      <c r="FYJ303" s="208"/>
      <c r="FYK303" s="208"/>
      <c r="FYL303" s="208"/>
      <c r="FYM303" s="208"/>
      <c r="FYN303" s="208"/>
      <c r="FYO303" s="208"/>
      <c r="FYP303" s="208"/>
      <c r="FYQ303" s="208"/>
      <c r="FYR303" s="208"/>
      <c r="FYS303" s="208"/>
      <c r="FYT303" s="208"/>
      <c r="FYU303" s="208"/>
      <c r="FYV303" s="208"/>
      <c r="FYW303" s="208"/>
      <c r="FYX303" s="208"/>
      <c r="FYY303" s="208"/>
      <c r="FYZ303" s="208"/>
      <c r="FZA303" s="208"/>
      <c r="FZB303" s="208"/>
      <c r="FZC303" s="208"/>
      <c r="FZD303" s="208"/>
      <c r="FZE303" s="208"/>
      <c r="FZF303" s="208"/>
      <c r="FZG303" s="208"/>
      <c r="FZH303" s="208"/>
      <c r="FZI303" s="208"/>
      <c r="FZJ303" s="208"/>
      <c r="FZK303" s="208"/>
      <c r="FZL303" s="208"/>
      <c r="FZM303" s="208"/>
      <c r="FZN303" s="208"/>
      <c r="FZO303" s="208"/>
      <c r="FZP303" s="208"/>
      <c r="FZQ303" s="208"/>
      <c r="FZR303" s="208"/>
      <c r="FZS303" s="208"/>
      <c r="FZT303" s="208"/>
      <c r="FZU303" s="208"/>
      <c r="FZV303" s="208"/>
      <c r="FZW303" s="208"/>
      <c r="FZX303" s="208"/>
      <c r="FZY303" s="208"/>
      <c r="FZZ303" s="208"/>
      <c r="GAA303" s="208"/>
      <c r="GAB303" s="208"/>
      <c r="GAC303" s="208"/>
      <c r="GAD303" s="208"/>
      <c r="GAE303" s="208"/>
      <c r="GAF303" s="208"/>
      <c r="GAG303" s="208"/>
      <c r="GAH303" s="208"/>
      <c r="GAI303" s="208"/>
      <c r="GAJ303" s="208"/>
      <c r="GAK303" s="208"/>
      <c r="GAL303" s="208"/>
      <c r="GAM303" s="208"/>
      <c r="GAN303" s="208"/>
      <c r="GAO303" s="208"/>
      <c r="GAP303" s="208"/>
      <c r="GAQ303" s="208"/>
      <c r="GAR303" s="208"/>
      <c r="GAS303" s="208"/>
      <c r="GAT303" s="208"/>
      <c r="GAU303" s="208"/>
      <c r="GAV303" s="208"/>
      <c r="GAW303" s="208"/>
      <c r="GAX303" s="208"/>
      <c r="GAY303" s="208"/>
      <c r="GAZ303" s="208"/>
      <c r="GBA303" s="208"/>
      <c r="GBB303" s="208"/>
      <c r="GBC303" s="208"/>
      <c r="GBD303" s="208"/>
      <c r="GBE303" s="208"/>
      <c r="GBF303" s="208"/>
      <c r="GBG303" s="208"/>
      <c r="GBH303" s="208"/>
      <c r="GBI303" s="208"/>
      <c r="GBJ303" s="208"/>
      <c r="GBK303" s="208"/>
      <c r="GBL303" s="208"/>
      <c r="GBM303" s="208"/>
      <c r="GBN303" s="208"/>
      <c r="GBO303" s="208"/>
      <c r="GBP303" s="208"/>
      <c r="GBQ303" s="208"/>
      <c r="GBR303" s="208"/>
      <c r="GBS303" s="208"/>
      <c r="GBT303" s="208"/>
      <c r="GBU303" s="208"/>
      <c r="GBV303" s="208"/>
      <c r="GBW303" s="208"/>
      <c r="GBX303" s="208"/>
      <c r="GBY303" s="208"/>
      <c r="GBZ303" s="208"/>
      <c r="GCA303" s="208"/>
      <c r="GCB303" s="208"/>
      <c r="GCC303" s="208"/>
      <c r="GCD303" s="208"/>
      <c r="GCE303" s="208"/>
      <c r="GCF303" s="208"/>
      <c r="GCG303" s="208"/>
      <c r="GCH303" s="208"/>
      <c r="GCI303" s="208"/>
      <c r="GCJ303" s="208"/>
      <c r="GCK303" s="208"/>
      <c r="GCL303" s="208"/>
      <c r="GCM303" s="208"/>
      <c r="GCN303" s="208"/>
      <c r="GCO303" s="208"/>
      <c r="GCP303" s="208"/>
      <c r="GCQ303" s="208"/>
      <c r="GCR303" s="208"/>
      <c r="GCS303" s="208"/>
      <c r="GCT303" s="208"/>
      <c r="GCU303" s="208"/>
      <c r="GCV303" s="208"/>
      <c r="GCW303" s="208"/>
      <c r="GCX303" s="208"/>
      <c r="GCY303" s="208"/>
      <c r="GCZ303" s="208"/>
      <c r="GDA303" s="208"/>
      <c r="GDB303" s="208"/>
      <c r="GDC303" s="208"/>
      <c r="GDD303" s="208"/>
      <c r="GDE303" s="208"/>
      <c r="GDF303" s="208"/>
      <c r="GDG303" s="208"/>
      <c r="GDH303" s="208"/>
      <c r="GDI303" s="208"/>
      <c r="GDJ303" s="208"/>
      <c r="GDK303" s="208"/>
      <c r="GDL303" s="208"/>
      <c r="GDM303" s="208"/>
      <c r="GDN303" s="208"/>
      <c r="GDO303" s="208"/>
      <c r="GDP303" s="208"/>
      <c r="GDQ303" s="208"/>
      <c r="GDR303" s="208"/>
      <c r="GDS303" s="208"/>
      <c r="GDT303" s="208"/>
      <c r="GDU303" s="208"/>
      <c r="GDV303" s="208"/>
      <c r="GDW303" s="208"/>
      <c r="GDX303" s="208"/>
      <c r="GDY303" s="208"/>
      <c r="GDZ303" s="208"/>
      <c r="GEA303" s="208"/>
      <c r="GEB303" s="208"/>
      <c r="GEC303" s="208"/>
      <c r="GED303" s="208"/>
      <c r="GEE303" s="208"/>
      <c r="GEF303" s="208"/>
      <c r="GEG303" s="208"/>
      <c r="GEH303" s="208"/>
      <c r="GEI303" s="208"/>
      <c r="GEJ303" s="208"/>
      <c r="GEK303" s="208"/>
      <c r="GEL303" s="208"/>
      <c r="GEM303" s="208"/>
      <c r="GEN303" s="208"/>
      <c r="GEO303" s="208"/>
      <c r="GEP303" s="208"/>
      <c r="GEQ303" s="208"/>
      <c r="GER303" s="208"/>
      <c r="GES303" s="208"/>
      <c r="GET303" s="208"/>
      <c r="GEU303" s="208"/>
      <c r="GEV303" s="208"/>
      <c r="GEW303" s="208"/>
      <c r="GEX303" s="208"/>
      <c r="GEY303" s="208"/>
      <c r="GEZ303" s="208"/>
      <c r="GFA303" s="208"/>
      <c r="GFB303" s="208"/>
      <c r="GFC303" s="208"/>
      <c r="GFD303" s="208"/>
      <c r="GFE303" s="208"/>
      <c r="GFF303" s="208"/>
      <c r="GFG303" s="208"/>
      <c r="GFH303" s="208"/>
      <c r="GFI303" s="208"/>
      <c r="GFJ303" s="208"/>
      <c r="GFK303" s="208"/>
      <c r="GFL303" s="208"/>
      <c r="GFM303" s="208"/>
      <c r="GFN303" s="208"/>
      <c r="GFO303" s="208"/>
      <c r="GFP303" s="208"/>
      <c r="GFQ303" s="208"/>
      <c r="GFR303" s="208"/>
      <c r="GFS303" s="208"/>
      <c r="GFT303" s="208"/>
      <c r="GFU303" s="208"/>
      <c r="GFV303" s="208"/>
      <c r="GFW303" s="208"/>
      <c r="GFX303" s="208"/>
      <c r="GFY303" s="208"/>
      <c r="GFZ303" s="208"/>
      <c r="GGA303" s="208"/>
      <c r="GGB303" s="208"/>
      <c r="GGC303" s="208"/>
      <c r="GGD303" s="208"/>
      <c r="GGE303" s="208"/>
      <c r="GGF303" s="208"/>
      <c r="GGG303" s="208"/>
      <c r="GGH303" s="208"/>
      <c r="GGI303" s="208"/>
      <c r="GGJ303" s="208"/>
      <c r="GGK303" s="208"/>
      <c r="GGL303" s="208"/>
      <c r="GGM303" s="208"/>
      <c r="GGN303" s="208"/>
      <c r="GGO303" s="208"/>
      <c r="GGP303" s="208"/>
      <c r="GGQ303" s="208"/>
      <c r="GGR303" s="208"/>
      <c r="GGS303" s="208"/>
      <c r="GGT303" s="208"/>
      <c r="GGU303" s="208"/>
      <c r="GGV303" s="208"/>
      <c r="GGW303" s="208"/>
      <c r="GGX303" s="208"/>
      <c r="GGY303" s="208"/>
      <c r="GGZ303" s="208"/>
      <c r="GHA303" s="208"/>
      <c r="GHB303" s="208"/>
      <c r="GHC303" s="208"/>
      <c r="GHD303" s="208"/>
      <c r="GHE303" s="208"/>
      <c r="GHF303" s="208"/>
      <c r="GHG303" s="208"/>
      <c r="GHH303" s="208"/>
      <c r="GHI303" s="208"/>
      <c r="GHJ303" s="208"/>
      <c r="GHK303" s="208"/>
      <c r="GHL303" s="208"/>
      <c r="GHM303" s="208"/>
      <c r="GHN303" s="208"/>
      <c r="GHO303" s="208"/>
      <c r="GHP303" s="208"/>
      <c r="GHQ303" s="208"/>
      <c r="GHR303" s="208"/>
      <c r="GHS303" s="208"/>
      <c r="GHT303" s="208"/>
      <c r="GHU303" s="208"/>
      <c r="GHV303" s="208"/>
      <c r="GHW303" s="208"/>
      <c r="GHX303" s="208"/>
      <c r="GHY303" s="208"/>
      <c r="GHZ303" s="208"/>
      <c r="GIA303" s="208"/>
      <c r="GIB303" s="208"/>
      <c r="GIC303" s="208"/>
      <c r="GID303" s="208"/>
      <c r="GIE303" s="208"/>
      <c r="GIF303" s="208"/>
      <c r="GIG303" s="208"/>
      <c r="GIH303" s="208"/>
      <c r="GII303" s="208"/>
      <c r="GIJ303" s="208"/>
      <c r="GIK303" s="208"/>
      <c r="GIL303" s="208"/>
      <c r="GIM303" s="208"/>
      <c r="GIN303" s="208"/>
      <c r="GIO303" s="208"/>
      <c r="GIP303" s="208"/>
      <c r="GIQ303" s="208"/>
      <c r="GIR303" s="208"/>
      <c r="GIS303" s="208"/>
      <c r="GIT303" s="208"/>
      <c r="GIU303" s="208"/>
      <c r="GIV303" s="208"/>
      <c r="GIW303" s="208"/>
      <c r="GIX303" s="208"/>
      <c r="GIY303" s="208"/>
      <c r="GIZ303" s="208"/>
      <c r="GJA303" s="208"/>
      <c r="GJB303" s="208"/>
      <c r="GJC303" s="208"/>
      <c r="GJD303" s="208"/>
      <c r="GJE303" s="208"/>
      <c r="GJF303" s="208"/>
      <c r="GJG303" s="208"/>
      <c r="GJH303" s="208"/>
      <c r="GJI303" s="208"/>
      <c r="GJJ303" s="208"/>
      <c r="GJK303" s="208"/>
      <c r="GJL303" s="208"/>
      <c r="GJM303" s="208"/>
      <c r="GJN303" s="208"/>
      <c r="GJO303" s="208"/>
      <c r="GJP303" s="208"/>
      <c r="GJQ303" s="208"/>
      <c r="GJR303" s="208"/>
      <c r="GJS303" s="208"/>
      <c r="GJT303" s="208"/>
      <c r="GJU303" s="208"/>
      <c r="GJV303" s="208"/>
      <c r="GJW303" s="208"/>
      <c r="GJX303" s="208"/>
      <c r="GJY303" s="208"/>
      <c r="GJZ303" s="208"/>
      <c r="GKA303" s="208"/>
      <c r="GKB303" s="208"/>
      <c r="GKC303" s="208"/>
      <c r="GKD303" s="208"/>
      <c r="GKE303" s="208"/>
      <c r="GKF303" s="208"/>
      <c r="GKG303" s="208"/>
      <c r="GKH303" s="208"/>
      <c r="GKI303" s="208"/>
      <c r="GKJ303" s="208"/>
      <c r="GKK303" s="208"/>
      <c r="GKL303" s="208"/>
      <c r="GKM303" s="208"/>
      <c r="GKN303" s="208"/>
      <c r="GKO303" s="208"/>
      <c r="GKP303" s="208"/>
      <c r="GKQ303" s="208"/>
      <c r="GKR303" s="208"/>
      <c r="GKS303" s="208"/>
      <c r="GKT303" s="208"/>
      <c r="GKU303" s="208"/>
      <c r="GKV303" s="208"/>
      <c r="GKW303" s="208"/>
      <c r="GKX303" s="208"/>
      <c r="GKY303" s="208"/>
      <c r="GKZ303" s="208"/>
      <c r="GLA303" s="208"/>
      <c r="GLB303" s="208"/>
      <c r="GLC303" s="208"/>
      <c r="GLD303" s="208"/>
      <c r="GLE303" s="208"/>
      <c r="GLF303" s="208"/>
      <c r="GLG303" s="208"/>
      <c r="GLH303" s="208"/>
      <c r="GLI303" s="208"/>
      <c r="GLJ303" s="208"/>
      <c r="GLK303" s="208"/>
      <c r="GLL303" s="208"/>
      <c r="GLM303" s="208"/>
      <c r="GLN303" s="208"/>
      <c r="GLO303" s="208"/>
      <c r="GLP303" s="208"/>
      <c r="GLQ303" s="208"/>
      <c r="GLR303" s="208"/>
      <c r="GLS303" s="208"/>
      <c r="GLT303" s="208"/>
      <c r="GLU303" s="208"/>
      <c r="GLV303" s="208"/>
      <c r="GLW303" s="208"/>
      <c r="GLX303" s="208"/>
      <c r="GLY303" s="208"/>
      <c r="GLZ303" s="208"/>
      <c r="GMA303" s="208"/>
      <c r="GMB303" s="208"/>
      <c r="GMC303" s="208"/>
      <c r="GMD303" s="208"/>
      <c r="GME303" s="208"/>
      <c r="GMF303" s="208"/>
      <c r="GMG303" s="208"/>
      <c r="GMH303" s="208"/>
      <c r="GMI303" s="208"/>
      <c r="GMJ303" s="208"/>
      <c r="GMK303" s="208"/>
      <c r="GML303" s="208"/>
      <c r="GMM303" s="208"/>
      <c r="GMN303" s="208"/>
      <c r="GMO303" s="208"/>
      <c r="GMP303" s="208"/>
      <c r="GMQ303" s="208"/>
      <c r="GMR303" s="208"/>
      <c r="GMS303" s="208"/>
      <c r="GMT303" s="208"/>
      <c r="GMU303" s="208"/>
      <c r="GMV303" s="208"/>
      <c r="GMW303" s="208"/>
      <c r="GMX303" s="208"/>
      <c r="GMY303" s="208"/>
      <c r="GMZ303" s="208"/>
      <c r="GNA303" s="208"/>
      <c r="GNB303" s="208"/>
      <c r="GNC303" s="208"/>
      <c r="GND303" s="208"/>
      <c r="GNE303" s="208"/>
      <c r="GNF303" s="208"/>
      <c r="GNG303" s="208"/>
      <c r="GNH303" s="208"/>
      <c r="GNI303" s="208"/>
      <c r="GNJ303" s="208"/>
      <c r="GNK303" s="208"/>
      <c r="GNL303" s="208"/>
      <c r="GNM303" s="208"/>
      <c r="GNN303" s="208"/>
      <c r="GNO303" s="208"/>
      <c r="GNP303" s="208"/>
      <c r="GNQ303" s="208"/>
      <c r="GNR303" s="208"/>
      <c r="GNS303" s="208"/>
      <c r="GNT303" s="208"/>
      <c r="GNU303" s="208"/>
      <c r="GNV303" s="208"/>
      <c r="GNW303" s="208"/>
      <c r="GNX303" s="208"/>
      <c r="GNY303" s="208"/>
      <c r="GNZ303" s="208"/>
      <c r="GOA303" s="208"/>
      <c r="GOB303" s="208"/>
      <c r="GOC303" s="208"/>
      <c r="GOD303" s="208"/>
      <c r="GOE303" s="208"/>
      <c r="GOF303" s="208"/>
      <c r="GOG303" s="208"/>
      <c r="GOH303" s="208"/>
      <c r="GOI303" s="208"/>
      <c r="GOJ303" s="208"/>
      <c r="GOK303" s="208"/>
      <c r="GOL303" s="208"/>
      <c r="GOM303" s="208"/>
      <c r="GON303" s="208"/>
      <c r="GOO303" s="208"/>
      <c r="GOP303" s="208"/>
      <c r="GOQ303" s="208"/>
      <c r="GOR303" s="208"/>
      <c r="GOS303" s="208"/>
      <c r="GOT303" s="208"/>
      <c r="GOU303" s="208"/>
      <c r="GOV303" s="208"/>
      <c r="GOW303" s="208"/>
      <c r="GOX303" s="208"/>
      <c r="GOY303" s="208"/>
      <c r="GOZ303" s="208"/>
      <c r="GPA303" s="208"/>
      <c r="GPB303" s="208"/>
      <c r="GPC303" s="208"/>
      <c r="GPD303" s="208"/>
      <c r="GPE303" s="208"/>
      <c r="GPF303" s="208"/>
      <c r="GPG303" s="208"/>
      <c r="GPH303" s="208"/>
      <c r="GPI303" s="208"/>
      <c r="GPJ303" s="208"/>
      <c r="GPK303" s="208"/>
      <c r="GPL303" s="208"/>
      <c r="GPM303" s="208"/>
      <c r="GPN303" s="208"/>
      <c r="GPO303" s="208"/>
      <c r="GPP303" s="208"/>
      <c r="GPQ303" s="208"/>
      <c r="GPR303" s="208"/>
      <c r="GPS303" s="208"/>
      <c r="GPT303" s="208"/>
      <c r="GPU303" s="208"/>
      <c r="GPV303" s="208"/>
      <c r="GPW303" s="208"/>
      <c r="GPX303" s="208"/>
      <c r="GPY303" s="208"/>
      <c r="GPZ303" s="208"/>
      <c r="GQA303" s="208"/>
      <c r="GQB303" s="208"/>
      <c r="GQC303" s="208"/>
      <c r="GQD303" s="208"/>
      <c r="GQE303" s="208"/>
      <c r="GQF303" s="208"/>
      <c r="GQG303" s="208"/>
      <c r="GQH303" s="208"/>
      <c r="GQI303" s="208"/>
      <c r="GQJ303" s="208"/>
      <c r="GQK303" s="208"/>
      <c r="GQL303" s="208"/>
      <c r="GQM303" s="208"/>
      <c r="GQN303" s="208"/>
      <c r="GQO303" s="208"/>
      <c r="GQP303" s="208"/>
      <c r="GQQ303" s="208"/>
      <c r="GQR303" s="208"/>
      <c r="GQS303" s="208"/>
      <c r="GQT303" s="208"/>
      <c r="GQU303" s="208"/>
      <c r="GQV303" s="208"/>
      <c r="GQW303" s="208"/>
      <c r="GQX303" s="208"/>
      <c r="GQY303" s="208"/>
      <c r="GQZ303" s="208"/>
      <c r="GRA303" s="208"/>
      <c r="GRB303" s="208"/>
      <c r="GRC303" s="208"/>
      <c r="GRD303" s="208"/>
      <c r="GRE303" s="208"/>
      <c r="GRF303" s="208"/>
      <c r="GRG303" s="208"/>
      <c r="GRH303" s="208"/>
      <c r="GRI303" s="208"/>
      <c r="GRJ303" s="208"/>
      <c r="GRK303" s="208"/>
      <c r="GRL303" s="208"/>
      <c r="GRM303" s="208"/>
      <c r="GRN303" s="208"/>
      <c r="GRO303" s="208"/>
      <c r="GRP303" s="208"/>
      <c r="GRQ303" s="208"/>
      <c r="GRR303" s="208"/>
      <c r="GRS303" s="208"/>
      <c r="GRT303" s="208"/>
      <c r="GRU303" s="208"/>
      <c r="GRV303" s="208"/>
      <c r="GRW303" s="208"/>
      <c r="GRX303" s="208"/>
      <c r="GRY303" s="208"/>
      <c r="GRZ303" s="208"/>
      <c r="GSA303" s="208"/>
      <c r="GSB303" s="208"/>
      <c r="GSC303" s="208"/>
      <c r="GSD303" s="208"/>
      <c r="GSE303" s="208"/>
      <c r="GSF303" s="208"/>
      <c r="GSG303" s="208"/>
      <c r="GSH303" s="208"/>
      <c r="GSI303" s="208"/>
      <c r="GSJ303" s="208"/>
      <c r="GSK303" s="208"/>
      <c r="GSL303" s="208"/>
      <c r="GSM303" s="208"/>
      <c r="GSN303" s="208"/>
      <c r="GSO303" s="208"/>
      <c r="GSP303" s="208"/>
      <c r="GSQ303" s="208"/>
      <c r="GSR303" s="208"/>
      <c r="GSS303" s="208"/>
      <c r="GST303" s="208"/>
      <c r="GSU303" s="208"/>
      <c r="GSV303" s="208"/>
      <c r="GSW303" s="208"/>
      <c r="GSX303" s="208"/>
      <c r="GSY303" s="208"/>
      <c r="GSZ303" s="208"/>
      <c r="GTA303" s="208"/>
      <c r="GTB303" s="208"/>
      <c r="GTC303" s="208"/>
      <c r="GTD303" s="208"/>
      <c r="GTE303" s="208"/>
      <c r="GTF303" s="208"/>
      <c r="GTG303" s="208"/>
      <c r="GTH303" s="208"/>
      <c r="GTI303" s="208"/>
      <c r="GTJ303" s="208"/>
      <c r="GTK303" s="208"/>
      <c r="GTL303" s="208"/>
      <c r="GTM303" s="208"/>
      <c r="GTN303" s="208"/>
      <c r="GTO303" s="208"/>
      <c r="GTP303" s="208"/>
      <c r="GTQ303" s="208"/>
      <c r="GTR303" s="208"/>
      <c r="GTS303" s="208"/>
      <c r="GTT303" s="208"/>
      <c r="GTU303" s="208"/>
      <c r="GTV303" s="208"/>
      <c r="GTW303" s="208"/>
      <c r="GTX303" s="208"/>
      <c r="GTY303" s="208"/>
      <c r="GTZ303" s="208"/>
      <c r="GUA303" s="208"/>
      <c r="GUB303" s="208"/>
      <c r="GUC303" s="208"/>
      <c r="GUD303" s="208"/>
      <c r="GUE303" s="208"/>
      <c r="GUF303" s="208"/>
      <c r="GUG303" s="208"/>
      <c r="GUH303" s="208"/>
      <c r="GUI303" s="208"/>
      <c r="GUJ303" s="208"/>
      <c r="GUK303" s="208"/>
      <c r="GUL303" s="208"/>
      <c r="GUM303" s="208"/>
      <c r="GUN303" s="208"/>
      <c r="GUO303" s="208"/>
      <c r="GUP303" s="208"/>
      <c r="GUQ303" s="208"/>
      <c r="GUR303" s="208"/>
      <c r="GUS303" s="208"/>
      <c r="GUT303" s="208"/>
      <c r="GUU303" s="208"/>
      <c r="GUV303" s="208"/>
      <c r="GUW303" s="208"/>
      <c r="GUX303" s="208"/>
      <c r="GUY303" s="208"/>
      <c r="GUZ303" s="208"/>
      <c r="GVA303" s="208"/>
      <c r="GVB303" s="208"/>
      <c r="GVC303" s="208"/>
      <c r="GVD303" s="208"/>
      <c r="GVE303" s="208"/>
      <c r="GVF303" s="208"/>
      <c r="GVG303" s="208"/>
      <c r="GVH303" s="208"/>
      <c r="GVI303" s="208"/>
      <c r="GVJ303" s="208"/>
      <c r="GVK303" s="208"/>
      <c r="GVL303" s="208"/>
      <c r="GVM303" s="208"/>
      <c r="GVN303" s="208"/>
      <c r="GVO303" s="208"/>
      <c r="GVP303" s="208"/>
      <c r="GVQ303" s="208"/>
      <c r="GVR303" s="208"/>
      <c r="GVS303" s="208"/>
      <c r="GVT303" s="208"/>
      <c r="GVU303" s="208"/>
      <c r="GVV303" s="208"/>
      <c r="GVW303" s="208"/>
      <c r="GVX303" s="208"/>
      <c r="GVY303" s="208"/>
      <c r="GVZ303" s="208"/>
      <c r="GWA303" s="208"/>
      <c r="GWB303" s="208"/>
      <c r="GWC303" s="208"/>
      <c r="GWD303" s="208"/>
      <c r="GWE303" s="208"/>
      <c r="GWF303" s="208"/>
      <c r="GWG303" s="208"/>
      <c r="GWH303" s="208"/>
      <c r="GWI303" s="208"/>
      <c r="GWJ303" s="208"/>
      <c r="GWK303" s="208"/>
      <c r="GWL303" s="208"/>
      <c r="GWM303" s="208"/>
      <c r="GWN303" s="208"/>
      <c r="GWO303" s="208"/>
      <c r="GWP303" s="208"/>
      <c r="GWQ303" s="208"/>
      <c r="GWR303" s="208"/>
      <c r="GWS303" s="208"/>
      <c r="GWT303" s="208"/>
      <c r="GWU303" s="208"/>
      <c r="GWV303" s="208"/>
      <c r="GWW303" s="208"/>
      <c r="GWX303" s="208"/>
      <c r="GWY303" s="208"/>
      <c r="GWZ303" s="208"/>
      <c r="GXA303" s="208"/>
      <c r="GXB303" s="208"/>
      <c r="GXC303" s="208"/>
      <c r="GXD303" s="208"/>
      <c r="GXE303" s="208"/>
      <c r="GXF303" s="208"/>
      <c r="GXG303" s="208"/>
      <c r="GXH303" s="208"/>
      <c r="GXI303" s="208"/>
      <c r="GXJ303" s="208"/>
      <c r="GXK303" s="208"/>
      <c r="GXL303" s="208"/>
      <c r="GXM303" s="208"/>
      <c r="GXN303" s="208"/>
      <c r="GXO303" s="208"/>
      <c r="GXP303" s="208"/>
      <c r="GXQ303" s="208"/>
      <c r="GXR303" s="208"/>
      <c r="GXS303" s="208"/>
      <c r="GXT303" s="208"/>
      <c r="GXU303" s="208"/>
      <c r="GXV303" s="208"/>
      <c r="GXW303" s="208"/>
      <c r="GXX303" s="208"/>
      <c r="GXY303" s="208"/>
      <c r="GXZ303" s="208"/>
      <c r="GYA303" s="208"/>
      <c r="GYB303" s="208"/>
      <c r="GYC303" s="208"/>
      <c r="GYD303" s="208"/>
      <c r="GYE303" s="208"/>
      <c r="GYF303" s="208"/>
      <c r="GYG303" s="208"/>
      <c r="GYH303" s="208"/>
      <c r="GYI303" s="208"/>
      <c r="GYJ303" s="208"/>
      <c r="GYK303" s="208"/>
      <c r="GYL303" s="208"/>
      <c r="GYM303" s="208"/>
      <c r="GYN303" s="208"/>
      <c r="GYO303" s="208"/>
      <c r="GYP303" s="208"/>
      <c r="GYQ303" s="208"/>
      <c r="GYR303" s="208"/>
      <c r="GYS303" s="208"/>
      <c r="GYT303" s="208"/>
      <c r="GYU303" s="208"/>
      <c r="GYV303" s="208"/>
      <c r="GYW303" s="208"/>
      <c r="GYX303" s="208"/>
      <c r="GYY303" s="208"/>
      <c r="GYZ303" s="208"/>
      <c r="GZA303" s="208"/>
      <c r="GZB303" s="208"/>
      <c r="GZC303" s="208"/>
      <c r="GZD303" s="208"/>
      <c r="GZE303" s="208"/>
      <c r="GZF303" s="208"/>
      <c r="GZG303" s="208"/>
      <c r="GZH303" s="208"/>
      <c r="GZI303" s="208"/>
      <c r="GZJ303" s="208"/>
      <c r="GZK303" s="208"/>
      <c r="GZL303" s="208"/>
      <c r="GZM303" s="208"/>
      <c r="GZN303" s="208"/>
      <c r="GZO303" s="208"/>
      <c r="GZP303" s="208"/>
      <c r="GZQ303" s="208"/>
      <c r="GZR303" s="208"/>
      <c r="GZS303" s="208"/>
      <c r="GZT303" s="208"/>
      <c r="GZU303" s="208"/>
      <c r="GZV303" s="208"/>
      <c r="GZW303" s="208"/>
      <c r="GZX303" s="208"/>
      <c r="GZY303" s="208"/>
      <c r="GZZ303" s="208"/>
      <c r="HAA303" s="208"/>
      <c r="HAB303" s="208"/>
      <c r="HAC303" s="208"/>
      <c r="HAD303" s="208"/>
      <c r="HAE303" s="208"/>
      <c r="HAF303" s="208"/>
      <c r="HAG303" s="208"/>
      <c r="HAH303" s="208"/>
      <c r="HAI303" s="208"/>
      <c r="HAJ303" s="208"/>
      <c r="HAK303" s="208"/>
      <c r="HAL303" s="208"/>
      <c r="HAM303" s="208"/>
      <c r="HAN303" s="208"/>
      <c r="HAO303" s="208"/>
      <c r="HAP303" s="208"/>
      <c r="HAQ303" s="208"/>
      <c r="HAR303" s="208"/>
      <c r="HAS303" s="208"/>
      <c r="HAT303" s="208"/>
      <c r="HAU303" s="208"/>
      <c r="HAV303" s="208"/>
      <c r="HAW303" s="208"/>
      <c r="HAX303" s="208"/>
      <c r="HAY303" s="208"/>
      <c r="HAZ303" s="208"/>
      <c r="HBA303" s="208"/>
      <c r="HBB303" s="208"/>
      <c r="HBC303" s="208"/>
      <c r="HBD303" s="208"/>
      <c r="HBE303" s="208"/>
      <c r="HBF303" s="208"/>
      <c r="HBG303" s="208"/>
      <c r="HBH303" s="208"/>
      <c r="HBI303" s="208"/>
      <c r="HBJ303" s="208"/>
      <c r="HBK303" s="208"/>
      <c r="HBL303" s="208"/>
      <c r="HBM303" s="208"/>
      <c r="HBN303" s="208"/>
      <c r="HBO303" s="208"/>
      <c r="HBP303" s="208"/>
      <c r="HBQ303" s="208"/>
      <c r="HBR303" s="208"/>
      <c r="HBS303" s="208"/>
      <c r="HBT303" s="208"/>
      <c r="HBU303" s="208"/>
      <c r="HBV303" s="208"/>
      <c r="HBW303" s="208"/>
      <c r="HBX303" s="208"/>
      <c r="HBY303" s="208"/>
      <c r="HBZ303" s="208"/>
      <c r="HCA303" s="208"/>
      <c r="HCB303" s="208"/>
      <c r="HCC303" s="208"/>
      <c r="HCD303" s="208"/>
      <c r="HCE303" s="208"/>
      <c r="HCF303" s="208"/>
      <c r="HCG303" s="208"/>
      <c r="HCH303" s="208"/>
      <c r="HCI303" s="208"/>
      <c r="HCJ303" s="208"/>
      <c r="HCK303" s="208"/>
      <c r="HCL303" s="208"/>
      <c r="HCM303" s="208"/>
      <c r="HCN303" s="208"/>
      <c r="HCO303" s="208"/>
      <c r="HCP303" s="208"/>
      <c r="HCQ303" s="208"/>
      <c r="HCR303" s="208"/>
      <c r="HCS303" s="208"/>
      <c r="HCT303" s="208"/>
      <c r="HCU303" s="208"/>
      <c r="HCV303" s="208"/>
      <c r="HCW303" s="208"/>
      <c r="HCX303" s="208"/>
      <c r="HCY303" s="208"/>
      <c r="HCZ303" s="208"/>
      <c r="HDA303" s="208"/>
      <c r="HDB303" s="208"/>
      <c r="HDC303" s="208"/>
      <c r="HDD303" s="208"/>
      <c r="HDE303" s="208"/>
      <c r="HDF303" s="208"/>
      <c r="HDG303" s="208"/>
      <c r="HDH303" s="208"/>
      <c r="HDI303" s="208"/>
      <c r="HDJ303" s="208"/>
      <c r="HDK303" s="208"/>
      <c r="HDL303" s="208"/>
      <c r="HDM303" s="208"/>
      <c r="HDN303" s="208"/>
      <c r="HDO303" s="208"/>
      <c r="HDP303" s="208"/>
      <c r="HDQ303" s="208"/>
      <c r="HDR303" s="208"/>
      <c r="HDS303" s="208"/>
      <c r="HDT303" s="208"/>
      <c r="HDU303" s="208"/>
      <c r="HDV303" s="208"/>
      <c r="HDW303" s="208"/>
      <c r="HDX303" s="208"/>
      <c r="HDY303" s="208"/>
      <c r="HDZ303" s="208"/>
      <c r="HEA303" s="208"/>
      <c r="HEB303" s="208"/>
      <c r="HEC303" s="208"/>
      <c r="HED303" s="208"/>
      <c r="HEE303" s="208"/>
      <c r="HEF303" s="208"/>
      <c r="HEG303" s="208"/>
      <c r="HEH303" s="208"/>
      <c r="HEI303" s="208"/>
      <c r="HEJ303" s="208"/>
      <c r="HEK303" s="208"/>
      <c r="HEL303" s="208"/>
      <c r="HEM303" s="208"/>
      <c r="HEN303" s="208"/>
      <c r="HEO303" s="208"/>
      <c r="HEP303" s="208"/>
      <c r="HEQ303" s="208"/>
      <c r="HER303" s="208"/>
      <c r="HES303" s="208"/>
      <c r="HET303" s="208"/>
      <c r="HEU303" s="208"/>
      <c r="HEV303" s="208"/>
      <c r="HEW303" s="208"/>
      <c r="HEX303" s="208"/>
      <c r="HEY303" s="208"/>
      <c r="HEZ303" s="208"/>
      <c r="HFA303" s="208"/>
      <c r="HFB303" s="208"/>
      <c r="HFC303" s="208"/>
      <c r="HFD303" s="208"/>
      <c r="HFE303" s="208"/>
      <c r="HFF303" s="208"/>
      <c r="HFG303" s="208"/>
      <c r="HFH303" s="208"/>
      <c r="HFI303" s="208"/>
      <c r="HFJ303" s="208"/>
      <c r="HFK303" s="208"/>
      <c r="HFL303" s="208"/>
      <c r="HFM303" s="208"/>
      <c r="HFN303" s="208"/>
      <c r="HFO303" s="208"/>
      <c r="HFP303" s="208"/>
      <c r="HFQ303" s="208"/>
      <c r="HFR303" s="208"/>
      <c r="HFS303" s="208"/>
      <c r="HFT303" s="208"/>
      <c r="HFU303" s="208"/>
      <c r="HFV303" s="208"/>
      <c r="HFW303" s="208"/>
      <c r="HFX303" s="208"/>
      <c r="HFY303" s="208"/>
      <c r="HFZ303" s="208"/>
      <c r="HGA303" s="208"/>
      <c r="HGB303" s="208"/>
      <c r="HGC303" s="208"/>
      <c r="HGD303" s="208"/>
      <c r="HGE303" s="208"/>
      <c r="HGF303" s="208"/>
      <c r="HGG303" s="208"/>
      <c r="HGH303" s="208"/>
      <c r="HGI303" s="208"/>
      <c r="HGJ303" s="208"/>
      <c r="HGK303" s="208"/>
      <c r="HGL303" s="208"/>
      <c r="HGM303" s="208"/>
      <c r="HGN303" s="208"/>
      <c r="HGO303" s="208"/>
      <c r="HGP303" s="208"/>
      <c r="HGQ303" s="208"/>
      <c r="HGR303" s="208"/>
      <c r="HGS303" s="208"/>
      <c r="HGT303" s="208"/>
      <c r="HGU303" s="208"/>
      <c r="HGV303" s="208"/>
      <c r="HGW303" s="208"/>
      <c r="HGX303" s="208"/>
      <c r="HGY303" s="208"/>
      <c r="HGZ303" s="208"/>
      <c r="HHA303" s="208"/>
      <c r="HHB303" s="208"/>
      <c r="HHC303" s="208"/>
      <c r="HHD303" s="208"/>
      <c r="HHE303" s="208"/>
      <c r="HHF303" s="208"/>
      <c r="HHG303" s="208"/>
      <c r="HHH303" s="208"/>
      <c r="HHI303" s="208"/>
      <c r="HHJ303" s="208"/>
      <c r="HHK303" s="208"/>
      <c r="HHL303" s="208"/>
      <c r="HHM303" s="208"/>
      <c r="HHN303" s="208"/>
      <c r="HHO303" s="208"/>
      <c r="HHP303" s="208"/>
      <c r="HHQ303" s="208"/>
      <c r="HHR303" s="208"/>
      <c r="HHS303" s="208"/>
      <c r="HHT303" s="208"/>
      <c r="HHU303" s="208"/>
      <c r="HHV303" s="208"/>
      <c r="HHW303" s="208"/>
      <c r="HHX303" s="208"/>
      <c r="HHY303" s="208"/>
      <c r="HHZ303" s="208"/>
      <c r="HIA303" s="208"/>
      <c r="HIB303" s="208"/>
      <c r="HIC303" s="208"/>
      <c r="HID303" s="208"/>
      <c r="HIE303" s="208"/>
      <c r="HIF303" s="208"/>
      <c r="HIG303" s="208"/>
      <c r="HIH303" s="208"/>
      <c r="HII303" s="208"/>
      <c r="HIJ303" s="208"/>
      <c r="HIK303" s="208"/>
      <c r="HIL303" s="208"/>
      <c r="HIM303" s="208"/>
      <c r="HIN303" s="208"/>
      <c r="HIO303" s="208"/>
      <c r="HIP303" s="208"/>
      <c r="HIQ303" s="208"/>
      <c r="HIR303" s="208"/>
      <c r="HIS303" s="208"/>
      <c r="HIT303" s="208"/>
      <c r="HIU303" s="208"/>
      <c r="HIV303" s="208"/>
      <c r="HIW303" s="208"/>
      <c r="HIX303" s="208"/>
      <c r="HIY303" s="208"/>
      <c r="HIZ303" s="208"/>
      <c r="HJA303" s="208"/>
      <c r="HJB303" s="208"/>
      <c r="HJC303" s="208"/>
      <c r="HJD303" s="208"/>
      <c r="HJE303" s="208"/>
      <c r="HJF303" s="208"/>
      <c r="HJG303" s="208"/>
      <c r="HJH303" s="208"/>
      <c r="HJI303" s="208"/>
      <c r="HJJ303" s="208"/>
      <c r="HJK303" s="208"/>
      <c r="HJL303" s="208"/>
      <c r="HJM303" s="208"/>
      <c r="HJN303" s="208"/>
      <c r="HJO303" s="208"/>
      <c r="HJP303" s="208"/>
      <c r="HJQ303" s="208"/>
      <c r="HJR303" s="208"/>
      <c r="HJS303" s="208"/>
      <c r="HJT303" s="208"/>
      <c r="HJU303" s="208"/>
      <c r="HJV303" s="208"/>
      <c r="HJW303" s="208"/>
      <c r="HJX303" s="208"/>
      <c r="HJY303" s="208"/>
      <c r="HJZ303" s="208"/>
      <c r="HKA303" s="208"/>
      <c r="HKB303" s="208"/>
      <c r="HKC303" s="208"/>
      <c r="HKD303" s="208"/>
      <c r="HKE303" s="208"/>
      <c r="HKF303" s="208"/>
      <c r="HKG303" s="208"/>
      <c r="HKH303" s="208"/>
      <c r="HKI303" s="208"/>
      <c r="HKJ303" s="208"/>
      <c r="HKK303" s="208"/>
      <c r="HKL303" s="208"/>
      <c r="HKM303" s="208"/>
      <c r="HKN303" s="208"/>
      <c r="HKO303" s="208"/>
      <c r="HKP303" s="208"/>
      <c r="HKQ303" s="208"/>
      <c r="HKR303" s="208"/>
      <c r="HKS303" s="208"/>
      <c r="HKT303" s="208"/>
      <c r="HKU303" s="208"/>
      <c r="HKV303" s="208"/>
      <c r="HKW303" s="208"/>
      <c r="HKX303" s="208"/>
      <c r="HKY303" s="208"/>
      <c r="HKZ303" s="208"/>
      <c r="HLA303" s="208"/>
      <c r="HLB303" s="208"/>
      <c r="HLC303" s="208"/>
      <c r="HLD303" s="208"/>
      <c r="HLE303" s="208"/>
      <c r="HLF303" s="208"/>
      <c r="HLG303" s="208"/>
      <c r="HLH303" s="208"/>
      <c r="HLI303" s="208"/>
      <c r="HLJ303" s="208"/>
      <c r="HLK303" s="208"/>
      <c r="HLL303" s="208"/>
      <c r="HLM303" s="208"/>
      <c r="HLN303" s="208"/>
      <c r="HLO303" s="208"/>
      <c r="HLP303" s="208"/>
      <c r="HLQ303" s="208"/>
      <c r="HLR303" s="208"/>
      <c r="HLS303" s="208"/>
      <c r="HLT303" s="208"/>
      <c r="HLU303" s="208"/>
      <c r="HLV303" s="208"/>
      <c r="HLW303" s="208"/>
      <c r="HLX303" s="208"/>
      <c r="HLY303" s="208"/>
      <c r="HLZ303" s="208"/>
      <c r="HMA303" s="208"/>
      <c r="HMB303" s="208"/>
      <c r="HMC303" s="208"/>
      <c r="HMD303" s="208"/>
      <c r="HME303" s="208"/>
      <c r="HMF303" s="208"/>
      <c r="HMG303" s="208"/>
      <c r="HMH303" s="208"/>
      <c r="HMI303" s="208"/>
      <c r="HMJ303" s="208"/>
      <c r="HMK303" s="208"/>
      <c r="HML303" s="208"/>
      <c r="HMM303" s="208"/>
      <c r="HMN303" s="208"/>
      <c r="HMO303" s="208"/>
      <c r="HMP303" s="208"/>
      <c r="HMQ303" s="208"/>
      <c r="HMR303" s="208"/>
      <c r="HMS303" s="208"/>
      <c r="HMT303" s="208"/>
      <c r="HMU303" s="208"/>
      <c r="HMV303" s="208"/>
      <c r="HMW303" s="208"/>
      <c r="HMX303" s="208"/>
      <c r="HMY303" s="208"/>
      <c r="HMZ303" s="208"/>
      <c r="HNA303" s="208"/>
      <c r="HNB303" s="208"/>
      <c r="HNC303" s="208"/>
      <c r="HND303" s="208"/>
      <c r="HNE303" s="208"/>
      <c r="HNF303" s="208"/>
      <c r="HNG303" s="208"/>
      <c r="HNH303" s="208"/>
      <c r="HNI303" s="208"/>
      <c r="HNJ303" s="208"/>
      <c r="HNK303" s="208"/>
      <c r="HNL303" s="208"/>
      <c r="HNM303" s="208"/>
      <c r="HNN303" s="208"/>
      <c r="HNO303" s="208"/>
      <c r="HNP303" s="208"/>
      <c r="HNQ303" s="208"/>
      <c r="HNR303" s="208"/>
      <c r="HNS303" s="208"/>
      <c r="HNT303" s="208"/>
      <c r="HNU303" s="208"/>
      <c r="HNV303" s="208"/>
      <c r="HNW303" s="208"/>
      <c r="HNX303" s="208"/>
      <c r="HNY303" s="208"/>
      <c r="HNZ303" s="208"/>
      <c r="HOA303" s="208"/>
      <c r="HOB303" s="208"/>
      <c r="HOC303" s="208"/>
      <c r="HOD303" s="208"/>
      <c r="HOE303" s="208"/>
      <c r="HOF303" s="208"/>
      <c r="HOG303" s="208"/>
      <c r="HOH303" s="208"/>
      <c r="HOI303" s="208"/>
      <c r="HOJ303" s="208"/>
      <c r="HOK303" s="208"/>
      <c r="HOL303" s="208"/>
      <c r="HOM303" s="208"/>
      <c r="HON303" s="208"/>
      <c r="HOO303" s="208"/>
      <c r="HOP303" s="208"/>
      <c r="HOQ303" s="208"/>
      <c r="HOR303" s="208"/>
      <c r="HOS303" s="208"/>
      <c r="HOT303" s="208"/>
      <c r="HOU303" s="208"/>
      <c r="HOV303" s="208"/>
      <c r="HOW303" s="208"/>
      <c r="HOX303" s="208"/>
      <c r="HOY303" s="208"/>
      <c r="HOZ303" s="208"/>
      <c r="HPA303" s="208"/>
      <c r="HPB303" s="208"/>
      <c r="HPC303" s="208"/>
      <c r="HPD303" s="208"/>
      <c r="HPE303" s="208"/>
      <c r="HPF303" s="208"/>
      <c r="HPG303" s="208"/>
      <c r="HPH303" s="208"/>
      <c r="HPI303" s="208"/>
      <c r="HPJ303" s="208"/>
      <c r="HPK303" s="208"/>
      <c r="HPL303" s="208"/>
      <c r="HPM303" s="208"/>
      <c r="HPN303" s="208"/>
      <c r="HPO303" s="208"/>
      <c r="HPP303" s="208"/>
      <c r="HPQ303" s="208"/>
      <c r="HPR303" s="208"/>
      <c r="HPS303" s="208"/>
      <c r="HPT303" s="208"/>
      <c r="HPU303" s="208"/>
      <c r="HPV303" s="208"/>
      <c r="HPW303" s="208"/>
      <c r="HPX303" s="208"/>
      <c r="HPY303" s="208"/>
      <c r="HPZ303" s="208"/>
      <c r="HQA303" s="208"/>
      <c r="HQB303" s="208"/>
      <c r="HQC303" s="208"/>
      <c r="HQD303" s="208"/>
      <c r="HQE303" s="208"/>
      <c r="HQF303" s="208"/>
      <c r="HQG303" s="208"/>
      <c r="HQH303" s="208"/>
      <c r="HQI303" s="208"/>
      <c r="HQJ303" s="208"/>
      <c r="HQK303" s="208"/>
      <c r="HQL303" s="208"/>
      <c r="HQM303" s="208"/>
      <c r="HQN303" s="208"/>
      <c r="HQO303" s="208"/>
      <c r="HQP303" s="208"/>
      <c r="HQQ303" s="208"/>
      <c r="HQR303" s="208"/>
      <c r="HQS303" s="208"/>
      <c r="HQT303" s="208"/>
      <c r="HQU303" s="208"/>
      <c r="HQV303" s="208"/>
      <c r="HQW303" s="208"/>
      <c r="HQX303" s="208"/>
      <c r="HQY303" s="208"/>
      <c r="HQZ303" s="208"/>
      <c r="HRA303" s="208"/>
      <c r="HRB303" s="208"/>
      <c r="HRC303" s="208"/>
      <c r="HRD303" s="208"/>
      <c r="HRE303" s="208"/>
      <c r="HRF303" s="208"/>
      <c r="HRG303" s="208"/>
      <c r="HRH303" s="208"/>
      <c r="HRI303" s="208"/>
      <c r="HRJ303" s="208"/>
      <c r="HRK303" s="208"/>
      <c r="HRL303" s="208"/>
      <c r="HRM303" s="208"/>
      <c r="HRN303" s="208"/>
      <c r="HRO303" s="208"/>
      <c r="HRP303" s="208"/>
      <c r="HRQ303" s="208"/>
      <c r="HRR303" s="208"/>
      <c r="HRS303" s="208"/>
      <c r="HRT303" s="208"/>
      <c r="HRU303" s="208"/>
      <c r="HRV303" s="208"/>
      <c r="HRW303" s="208"/>
      <c r="HRX303" s="208"/>
      <c r="HRY303" s="208"/>
      <c r="HRZ303" s="208"/>
      <c r="HSA303" s="208"/>
      <c r="HSB303" s="208"/>
      <c r="HSC303" s="208"/>
      <c r="HSD303" s="208"/>
      <c r="HSE303" s="208"/>
      <c r="HSF303" s="208"/>
      <c r="HSG303" s="208"/>
      <c r="HSH303" s="208"/>
      <c r="HSI303" s="208"/>
      <c r="HSJ303" s="208"/>
      <c r="HSK303" s="208"/>
      <c r="HSL303" s="208"/>
      <c r="HSM303" s="208"/>
      <c r="HSN303" s="208"/>
      <c r="HSO303" s="208"/>
      <c r="HSP303" s="208"/>
      <c r="HSQ303" s="208"/>
      <c r="HSR303" s="208"/>
      <c r="HSS303" s="208"/>
      <c r="HST303" s="208"/>
      <c r="HSU303" s="208"/>
      <c r="HSV303" s="208"/>
      <c r="HSW303" s="208"/>
      <c r="HSX303" s="208"/>
      <c r="HSY303" s="208"/>
      <c r="HSZ303" s="208"/>
      <c r="HTA303" s="208"/>
      <c r="HTB303" s="208"/>
      <c r="HTC303" s="208"/>
      <c r="HTD303" s="208"/>
      <c r="HTE303" s="208"/>
      <c r="HTF303" s="208"/>
      <c r="HTG303" s="208"/>
      <c r="HTH303" s="208"/>
      <c r="HTI303" s="208"/>
      <c r="HTJ303" s="208"/>
      <c r="HTK303" s="208"/>
      <c r="HTL303" s="208"/>
      <c r="HTM303" s="208"/>
      <c r="HTN303" s="208"/>
      <c r="HTO303" s="208"/>
      <c r="HTP303" s="208"/>
      <c r="HTQ303" s="208"/>
      <c r="HTR303" s="208"/>
      <c r="HTS303" s="208"/>
      <c r="HTT303" s="208"/>
      <c r="HTU303" s="208"/>
      <c r="HTV303" s="208"/>
      <c r="HTW303" s="208"/>
      <c r="HTX303" s="208"/>
      <c r="HTY303" s="208"/>
      <c r="HTZ303" s="208"/>
      <c r="HUA303" s="208"/>
      <c r="HUB303" s="208"/>
      <c r="HUC303" s="208"/>
      <c r="HUD303" s="208"/>
      <c r="HUE303" s="208"/>
      <c r="HUF303" s="208"/>
      <c r="HUG303" s="208"/>
      <c r="HUH303" s="208"/>
      <c r="HUI303" s="208"/>
      <c r="HUJ303" s="208"/>
      <c r="HUK303" s="208"/>
      <c r="HUL303" s="208"/>
      <c r="HUM303" s="208"/>
      <c r="HUN303" s="208"/>
      <c r="HUO303" s="208"/>
      <c r="HUP303" s="208"/>
      <c r="HUQ303" s="208"/>
      <c r="HUR303" s="208"/>
      <c r="HUS303" s="208"/>
      <c r="HUT303" s="208"/>
      <c r="HUU303" s="208"/>
      <c r="HUV303" s="208"/>
      <c r="HUW303" s="208"/>
      <c r="HUX303" s="208"/>
      <c r="HUY303" s="208"/>
      <c r="HUZ303" s="208"/>
      <c r="HVA303" s="208"/>
      <c r="HVB303" s="208"/>
      <c r="HVC303" s="208"/>
      <c r="HVD303" s="208"/>
      <c r="HVE303" s="208"/>
      <c r="HVF303" s="208"/>
      <c r="HVG303" s="208"/>
      <c r="HVH303" s="208"/>
      <c r="HVI303" s="208"/>
      <c r="HVJ303" s="208"/>
      <c r="HVK303" s="208"/>
      <c r="HVL303" s="208"/>
      <c r="HVM303" s="208"/>
      <c r="HVN303" s="208"/>
      <c r="HVO303" s="208"/>
      <c r="HVP303" s="208"/>
      <c r="HVQ303" s="208"/>
      <c r="HVR303" s="208"/>
      <c r="HVS303" s="208"/>
      <c r="HVT303" s="208"/>
      <c r="HVU303" s="208"/>
      <c r="HVV303" s="208"/>
      <c r="HVW303" s="208"/>
      <c r="HVX303" s="208"/>
      <c r="HVY303" s="208"/>
      <c r="HVZ303" s="208"/>
      <c r="HWA303" s="208"/>
      <c r="HWB303" s="208"/>
      <c r="HWC303" s="208"/>
      <c r="HWD303" s="208"/>
      <c r="HWE303" s="208"/>
      <c r="HWF303" s="208"/>
      <c r="HWG303" s="208"/>
      <c r="HWH303" s="208"/>
      <c r="HWI303" s="208"/>
      <c r="HWJ303" s="208"/>
      <c r="HWK303" s="208"/>
      <c r="HWL303" s="208"/>
      <c r="HWM303" s="208"/>
      <c r="HWN303" s="208"/>
      <c r="HWO303" s="208"/>
      <c r="HWP303" s="208"/>
      <c r="HWQ303" s="208"/>
      <c r="HWR303" s="208"/>
      <c r="HWS303" s="208"/>
      <c r="HWT303" s="208"/>
      <c r="HWU303" s="208"/>
      <c r="HWV303" s="208"/>
      <c r="HWW303" s="208"/>
      <c r="HWX303" s="208"/>
      <c r="HWY303" s="208"/>
      <c r="HWZ303" s="208"/>
      <c r="HXA303" s="208"/>
      <c r="HXB303" s="208"/>
      <c r="HXC303" s="208"/>
      <c r="HXD303" s="208"/>
      <c r="HXE303" s="208"/>
      <c r="HXF303" s="208"/>
      <c r="HXG303" s="208"/>
      <c r="HXH303" s="208"/>
      <c r="HXI303" s="208"/>
      <c r="HXJ303" s="208"/>
      <c r="HXK303" s="208"/>
      <c r="HXL303" s="208"/>
      <c r="HXM303" s="208"/>
      <c r="HXN303" s="208"/>
      <c r="HXO303" s="208"/>
      <c r="HXP303" s="208"/>
      <c r="HXQ303" s="208"/>
      <c r="HXR303" s="208"/>
      <c r="HXS303" s="208"/>
      <c r="HXT303" s="208"/>
      <c r="HXU303" s="208"/>
      <c r="HXV303" s="208"/>
      <c r="HXW303" s="208"/>
      <c r="HXX303" s="208"/>
      <c r="HXY303" s="208"/>
      <c r="HXZ303" s="208"/>
      <c r="HYA303" s="208"/>
      <c r="HYB303" s="208"/>
      <c r="HYC303" s="208"/>
      <c r="HYD303" s="208"/>
      <c r="HYE303" s="208"/>
      <c r="HYF303" s="208"/>
      <c r="HYG303" s="208"/>
      <c r="HYH303" s="208"/>
      <c r="HYI303" s="208"/>
      <c r="HYJ303" s="208"/>
      <c r="HYK303" s="208"/>
      <c r="HYL303" s="208"/>
      <c r="HYM303" s="208"/>
      <c r="HYN303" s="208"/>
      <c r="HYO303" s="208"/>
      <c r="HYP303" s="208"/>
      <c r="HYQ303" s="208"/>
      <c r="HYR303" s="208"/>
      <c r="HYS303" s="208"/>
      <c r="HYT303" s="208"/>
      <c r="HYU303" s="208"/>
      <c r="HYV303" s="208"/>
      <c r="HYW303" s="208"/>
      <c r="HYX303" s="208"/>
      <c r="HYY303" s="208"/>
      <c r="HYZ303" s="208"/>
      <c r="HZA303" s="208"/>
      <c r="HZB303" s="208"/>
      <c r="HZC303" s="208"/>
      <c r="HZD303" s="208"/>
      <c r="HZE303" s="208"/>
      <c r="HZF303" s="208"/>
      <c r="HZG303" s="208"/>
      <c r="HZH303" s="208"/>
      <c r="HZI303" s="208"/>
      <c r="HZJ303" s="208"/>
      <c r="HZK303" s="208"/>
      <c r="HZL303" s="208"/>
      <c r="HZM303" s="208"/>
      <c r="HZN303" s="208"/>
      <c r="HZO303" s="208"/>
      <c r="HZP303" s="208"/>
      <c r="HZQ303" s="208"/>
      <c r="HZR303" s="208"/>
      <c r="HZS303" s="208"/>
      <c r="HZT303" s="208"/>
      <c r="HZU303" s="208"/>
      <c r="HZV303" s="208"/>
      <c r="HZW303" s="208"/>
      <c r="HZX303" s="208"/>
      <c r="HZY303" s="208"/>
      <c r="HZZ303" s="208"/>
      <c r="IAA303" s="208"/>
      <c r="IAB303" s="208"/>
      <c r="IAC303" s="208"/>
      <c r="IAD303" s="208"/>
      <c r="IAE303" s="208"/>
      <c r="IAF303" s="208"/>
      <c r="IAG303" s="208"/>
      <c r="IAH303" s="208"/>
      <c r="IAI303" s="208"/>
      <c r="IAJ303" s="208"/>
      <c r="IAK303" s="208"/>
      <c r="IAL303" s="208"/>
      <c r="IAM303" s="208"/>
      <c r="IAN303" s="208"/>
      <c r="IAO303" s="208"/>
      <c r="IAP303" s="208"/>
      <c r="IAQ303" s="208"/>
      <c r="IAR303" s="208"/>
      <c r="IAS303" s="208"/>
      <c r="IAT303" s="208"/>
      <c r="IAU303" s="208"/>
      <c r="IAV303" s="208"/>
      <c r="IAW303" s="208"/>
      <c r="IAX303" s="208"/>
      <c r="IAY303" s="208"/>
      <c r="IAZ303" s="208"/>
      <c r="IBA303" s="208"/>
      <c r="IBB303" s="208"/>
      <c r="IBC303" s="208"/>
      <c r="IBD303" s="208"/>
      <c r="IBE303" s="208"/>
      <c r="IBF303" s="208"/>
      <c r="IBG303" s="208"/>
      <c r="IBH303" s="208"/>
      <c r="IBI303" s="208"/>
      <c r="IBJ303" s="208"/>
      <c r="IBK303" s="208"/>
      <c r="IBL303" s="208"/>
      <c r="IBM303" s="208"/>
      <c r="IBN303" s="208"/>
      <c r="IBO303" s="208"/>
      <c r="IBP303" s="208"/>
      <c r="IBQ303" s="208"/>
      <c r="IBR303" s="208"/>
      <c r="IBS303" s="208"/>
      <c r="IBT303" s="208"/>
      <c r="IBU303" s="208"/>
      <c r="IBV303" s="208"/>
      <c r="IBW303" s="208"/>
      <c r="IBX303" s="208"/>
      <c r="IBY303" s="208"/>
      <c r="IBZ303" s="208"/>
      <c r="ICA303" s="208"/>
      <c r="ICB303" s="208"/>
      <c r="ICC303" s="208"/>
      <c r="ICD303" s="208"/>
      <c r="ICE303" s="208"/>
      <c r="ICF303" s="208"/>
      <c r="ICG303" s="208"/>
      <c r="ICH303" s="208"/>
      <c r="ICI303" s="208"/>
      <c r="ICJ303" s="208"/>
      <c r="ICK303" s="208"/>
      <c r="ICL303" s="208"/>
      <c r="ICM303" s="208"/>
      <c r="ICN303" s="208"/>
      <c r="ICO303" s="208"/>
      <c r="ICP303" s="208"/>
      <c r="ICQ303" s="208"/>
      <c r="ICR303" s="208"/>
      <c r="ICS303" s="208"/>
      <c r="ICT303" s="208"/>
      <c r="ICU303" s="208"/>
      <c r="ICV303" s="208"/>
      <c r="ICW303" s="208"/>
      <c r="ICX303" s="208"/>
      <c r="ICY303" s="208"/>
      <c r="ICZ303" s="208"/>
      <c r="IDA303" s="208"/>
      <c r="IDB303" s="208"/>
      <c r="IDC303" s="208"/>
      <c r="IDD303" s="208"/>
      <c r="IDE303" s="208"/>
      <c r="IDF303" s="208"/>
      <c r="IDG303" s="208"/>
      <c r="IDH303" s="208"/>
      <c r="IDI303" s="208"/>
      <c r="IDJ303" s="208"/>
      <c r="IDK303" s="208"/>
      <c r="IDL303" s="208"/>
      <c r="IDM303" s="208"/>
      <c r="IDN303" s="208"/>
      <c r="IDO303" s="208"/>
      <c r="IDP303" s="208"/>
      <c r="IDQ303" s="208"/>
      <c r="IDR303" s="208"/>
      <c r="IDS303" s="208"/>
      <c r="IDT303" s="208"/>
      <c r="IDU303" s="208"/>
      <c r="IDV303" s="208"/>
      <c r="IDW303" s="208"/>
      <c r="IDX303" s="208"/>
      <c r="IDY303" s="208"/>
      <c r="IDZ303" s="208"/>
      <c r="IEA303" s="208"/>
      <c r="IEB303" s="208"/>
      <c r="IEC303" s="208"/>
      <c r="IED303" s="208"/>
      <c r="IEE303" s="208"/>
      <c r="IEF303" s="208"/>
      <c r="IEG303" s="208"/>
      <c r="IEH303" s="208"/>
      <c r="IEI303" s="208"/>
      <c r="IEJ303" s="208"/>
      <c r="IEK303" s="208"/>
      <c r="IEL303" s="208"/>
      <c r="IEM303" s="208"/>
      <c r="IEN303" s="208"/>
      <c r="IEO303" s="208"/>
      <c r="IEP303" s="208"/>
      <c r="IEQ303" s="208"/>
      <c r="IER303" s="208"/>
      <c r="IES303" s="208"/>
      <c r="IET303" s="208"/>
      <c r="IEU303" s="208"/>
      <c r="IEV303" s="208"/>
      <c r="IEW303" s="208"/>
      <c r="IEX303" s="208"/>
      <c r="IEY303" s="208"/>
      <c r="IEZ303" s="208"/>
      <c r="IFA303" s="208"/>
      <c r="IFB303" s="208"/>
      <c r="IFC303" s="208"/>
      <c r="IFD303" s="208"/>
      <c r="IFE303" s="208"/>
      <c r="IFF303" s="208"/>
      <c r="IFG303" s="208"/>
      <c r="IFH303" s="208"/>
      <c r="IFI303" s="208"/>
      <c r="IFJ303" s="208"/>
      <c r="IFK303" s="208"/>
      <c r="IFL303" s="208"/>
      <c r="IFM303" s="208"/>
      <c r="IFN303" s="208"/>
      <c r="IFO303" s="208"/>
      <c r="IFP303" s="208"/>
      <c r="IFQ303" s="208"/>
      <c r="IFR303" s="208"/>
      <c r="IFS303" s="208"/>
      <c r="IFT303" s="208"/>
      <c r="IFU303" s="208"/>
      <c r="IFV303" s="208"/>
      <c r="IFW303" s="208"/>
      <c r="IFX303" s="208"/>
      <c r="IFY303" s="208"/>
      <c r="IFZ303" s="208"/>
      <c r="IGA303" s="208"/>
      <c r="IGB303" s="208"/>
      <c r="IGC303" s="208"/>
      <c r="IGD303" s="208"/>
      <c r="IGE303" s="208"/>
      <c r="IGF303" s="208"/>
      <c r="IGG303" s="208"/>
      <c r="IGH303" s="208"/>
      <c r="IGI303" s="208"/>
      <c r="IGJ303" s="208"/>
      <c r="IGK303" s="208"/>
      <c r="IGL303" s="208"/>
      <c r="IGM303" s="208"/>
      <c r="IGN303" s="208"/>
      <c r="IGO303" s="208"/>
      <c r="IGP303" s="208"/>
      <c r="IGQ303" s="208"/>
      <c r="IGR303" s="208"/>
      <c r="IGS303" s="208"/>
      <c r="IGT303" s="208"/>
      <c r="IGU303" s="208"/>
      <c r="IGV303" s="208"/>
      <c r="IGW303" s="208"/>
      <c r="IGX303" s="208"/>
      <c r="IGY303" s="208"/>
      <c r="IGZ303" s="208"/>
      <c r="IHA303" s="208"/>
      <c r="IHB303" s="208"/>
      <c r="IHC303" s="208"/>
      <c r="IHD303" s="208"/>
      <c r="IHE303" s="208"/>
      <c r="IHF303" s="208"/>
      <c r="IHG303" s="208"/>
      <c r="IHH303" s="208"/>
      <c r="IHI303" s="208"/>
      <c r="IHJ303" s="208"/>
      <c r="IHK303" s="208"/>
      <c r="IHL303" s="208"/>
      <c r="IHM303" s="208"/>
      <c r="IHN303" s="208"/>
      <c r="IHO303" s="208"/>
      <c r="IHP303" s="208"/>
      <c r="IHQ303" s="208"/>
      <c r="IHR303" s="208"/>
      <c r="IHS303" s="208"/>
      <c r="IHT303" s="208"/>
      <c r="IHU303" s="208"/>
      <c r="IHV303" s="208"/>
      <c r="IHW303" s="208"/>
      <c r="IHX303" s="208"/>
      <c r="IHY303" s="208"/>
      <c r="IHZ303" s="208"/>
      <c r="IIA303" s="208"/>
      <c r="IIB303" s="208"/>
      <c r="IIC303" s="208"/>
      <c r="IID303" s="208"/>
      <c r="IIE303" s="208"/>
      <c r="IIF303" s="208"/>
      <c r="IIG303" s="208"/>
      <c r="IIH303" s="208"/>
      <c r="III303" s="208"/>
      <c r="IIJ303" s="208"/>
      <c r="IIK303" s="208"/>
      <c r="IIL303" s="208"/>
      <c r="IIM303" s="208"/>
      <c r="IIN303" s="208"/>
      <c r="IIO303" s="208"/>
      <c r="IIP303" s="208"/>
      <c r="IIQ303" s="208"/>
      <c r="IIR303" s="208"/>
      <c r="IIS303" s="208"/>
      <c r="IIT303" s="208"/>
      <c r="IIU303" s="208"/>
      <c r="IIV303" s="208"/>
      <c r="IIW303" s="208"/>
      <c r="IIX303" s="208"/>
      <c r="IIY303" s="208"/>
      <c r="IIZ303" s="208"/>
      <c r="IJA303" s="208"/>
      <c r="IJB303" s="208"/>
      <c r="IJC303" s="208"/>
      <c r="IJD303" s="208"/>
      <c r="IJE303" s="208"/>
      <c r="IJF303" s="208"/>
      <c r="IJG303" s="208"/>
      <c r="IJH303" s="208"/>
      <c r="IJI303" s="208"/>
      <c r="IJJ303" s="208"/>
      <c r="IJK303" s="208"/>
      <c r="IJL303" s="208"/>
      <c r="IJM303" s="208"/>
      <c r="IJN303" s="208"/>
      <c r="IJO303" s="208"/>
      <c r="IJP303" s="208"/>
      <c r="IJQ303" s="208"/>
      <c r="IJR303" s="208"/>
      <c r="IJS303" s="208"/>
      <c r="IJT303" s="208"/>
      <c r="IJU303" s="208"/>
      <c r="IJV303" s="208"/>
      <c r="IJW303" s="208"/>
      <c r="IJX303" s="208"/>
      <c r="IJY303" s="208"/>
      <c r="IJZ303" s="208"/>
      <c r="IKA303" s="208"/>
      <c r="IKB303" s="208"/>
      <c r="IKC303" s="208"/>
      <c r="IKD303" s="208"/>
      <c r="IKE303" s="208"/>
      <c r="IKF303" s="208"/>
      <c r="IKG303" s="208"/>
      <c r="IKH303" s="208"/>
      <c r="IKI303" s="208"/>
      <c r="IKJ303" s="208"/>
      <c r="IKK303" s="208"/>
      <c r="IKL303" s="208"/>
      <c r="IKM303" s="208"/>
      <c r="IKN303" s="208"/>
      <c r="IKO303" s="208"/>
      <c r="IKP303" s="208"/>
      <c r="IKQ303" s="208"/>
      <c r="IKR303" s="208"/>
      <c r="IKS303" s="208"/>
      <c r="IKT303" s="208"/>
      <c r="IKU303" s="208"/>
      <c r="IKV303" s="208"/>
      <c r="IKW303" s="208"/>
      <c r="IKX303" s="208"/>
      <c r="IKY303" s="208"/>
      <c r="IKZ303" s="208"/>
      <c r="ILA303" s="208"/>
      <c r="ILB303" s="208"/>
      <c r="ILC303" s="208"/>
      <c r="ILD303" s="208"/>
      <c r="ILE303" s="208"/>
      <c r="ILF303" s="208"/>
      <c r="ILG303" s="208"/>
      <c r="ILH303" s="208"/>
      <c r="ILI303" s="208"/>
      <c r="ILJ303" s="208"/>
      <c r="ILK303" s="208"/>
      <c r="ILL303" s="208"/>
      <c r="ILM303" s="208"/>
      <c r="ILN303" s="208"/>
      <c r="ILO303" s="208"/>
      <c r="ILP303" s="208"/>
      <c r="ILQ303" s="208"/>
      <c r="ILR303" s="208"/>
      <c r="ILS303" s="208"/>
      <c r="ILT303" s="208"/>
      <c r="ILU303" s="208"/>
      <c r="ILV303" s="208"/>
      <c r="ILW303" s="208"/>
      <c r="ILX303" s="208"/>
      <c r="ILY303" s="208"/>
      <c r="ILZ303" s="208"/>
      <c r="IMA303" s="208"/>
      <c r="IMB303" s="208"/>
      <c r="IMC303" s="208"/>
      <c r="IMD303" s="208"/>
      <c r="IME303" s="208"/>
      <c r="IMF303" s="208"/>
      <c r="IMG303" s="208"/>
      <c r="IMH303" s="208"/>
      <c r="IMI303" s="208"/>
      <c r="IMJ303" s="208"/>
      <c r="IMK303" s="208"/>
      <c r="IML303" s="208"/>
      <c r="IMM303" s="208"/>
      <c r="IMN303" s="208"/>
      <c r="IMO303" s="208"/>
      <c r="IMP303" s="208"/>
      <c r="IMQ303" s="208"/>
      <c r="IMR303" s="208"/>
      <c r="IMS303" s="208"/>
      <c r="IMT303" s="208"/>
      <c r="IMU303" s="208"/>
      <c r="IMV303" s="208"/>
      <c r="IMW303" s="208"/>
      <c r="IMX303" s="208"/>
      <c r="IMY303" s="208"/>
      <c r="IMZ303" s="208"/>
      <c r="INA303" s="208"/>
      <c r="INB303" s="208"/>
      <c r="INC303" s="208"/>
      <c r="IND303" s="208"/>
      <c r="INE303" s="208"/>
      <c r="INF303" s="208"/>
      <c r="ING303" s="208"/>
      <c r="INH303" s="208"/>
      <c r="INI303" s="208"/>
      <c r="INJ303" s="208"/>
      <c r="INK303" s="208"/>
      <c r="INL303" s="208"/>
      <c r="INM303" s="208"/>
      <c r="INN303" s="208"/>
      <c r="INO303" s="208"/>
      <c r="INP303" s="208"/>
      <c r="INQ303" s="208"/>
      <c r="INR303" s="208"/>
      <c r="INS303" s="208"/>
      <c r="INT303" s="208"/>
      <c r="INU303" s="208"/>
      <c r="INV303" s="208"/>
      <c r="INW303" s="208"/>
      <c r="INX303" s="208"/>
      <c r="INY303" s="208"/>
      <c r="INZ303" s="208"/>
      <c r="IOA303" s="208"/>
      <c r="IOB303" s="208"/>
      <c r="IOC303" s="208"/>
      <c r="IOD303" s="208"/>
      <c r="IOE303" s="208"/>
      <c r="IOF303" s="208"/>
      <c r="IOG303" s="208"/>
      <c r="IOH303" s="208"/>
      <c r="IOI303" s="208"/>
      <c r="IOJ303" s="208"/>
      <c r="IOK303" s="208"/>
      <c r="IOL303" s="208"/>
      <c r="IOM303" s="208"/>
      <c r="ION303" s="208"/>
      <c r="IOO303" s="208"/>
      <c r="IOP303" s="208"/>
      <c r="IOQ303" s="208"/>
      <c r="IOR303" s="208"/>
      <c r="IOS303" s="208"/>
      <c r="IOT303" s="208"/>
      <c r="IOU303" s="208"/>
      <c r="IOV303" s="208"/>
      <c r="IOW303" s="208"/>
      <c r="IOX303" s="208"/>
      <c r="IOY303" s="208"/>
      <c r="IOZ303" s="208"/>
      <c r="IPA303" s="208"/>
      <c r="IPB303" s="208"/>
      <c r="IPC303" s="208"/>
      <c r="IPD303" s="208"/>
      <c r="IPE303" s="208"/>
      <c r="IPF303" s="208"/>
      <c r="IPG303" s="208"/>
      <c r="IPH303" s="208"/>
      <c r="IPI303" s="208"/>
      <c r="IPJ303" s="208"/>
      <c r="IPK303" s="208"/>
      <c r="IPL303" s="208"/>
      <c r="IPM303" s="208"/>
      <c r="IPN303" s="208"/>
      <c r="IPO303" s="208"/>
      <c r="IPP303" s="208"/>
      <c r="IPQ303" s="208"/>
      <c r="IPR303" s="208"/>
      <c r="IPS303" s="208"/>
      <c r="IPT303" s="208"/>
      <c r="IPU303" s="208"/>
      <c r="IPV303" s="208"/>
      <c r="IPW303" s="208"/>
      <c r="IPX303" s="208"/>
      <c r="IPY303" s="208"/>
      <c r="IPZ303" s="208"/>
      <c r="IQA303" s="208"/>
      <c r="IQB303" s="208"/>
      <c r="IQC303" s="208"/>
      <c r="IQD303" s="208"/>
      <c r="IQE303" s="208"/>
      <c r="IQF303" s="208"/>
      <c r="IQG303" s="208"/>
      <c r="IQH303" s="208"/>
      <c r="IQI303" s="208"/>
      <c r="IQJ303" s="208"/>
      <c r="IQK303" s="208"/>
      <c r="IQL303" s="208"/>
      <c r="IQM303" s="208"/>
      <c r="IQN303" s="208"/>
      <c r="IQO303" s="208"/>
      <c r="IQP303" s="208"/>
      <c r="IQQ303" s="208"/>
      <c r="IQR303" s="208"/>
      <c r="IQS303" s="208"/>
      <c r="IQT303" s="208"/>
      <c r="IQU303" s="208"/>
      <c r="IQV303" s="208"/>
      <c r="IQW303" s="208"/>
      <c r="IQX303" s="208"/>
      <c r="IQY303" s="208"/>
      <c r="IQZ303" s="208"/>
      <c r="IRA303" s="208"/>
      <c r="IRB303" s="208"/>
      <c r="IRC303" s="208"/>
      <c r="IRD303" s="208"/>
      <c r="IRE303" s="208"/>
      <c r="IRF303" s="208"/>
      <c r="IRG303" s="208"/>
      <c r="IRH303" s="208"/>
      <c r="IRI303" s="208"/>
      <c r="IRJ303" s="208"/>
      <c r="IRK303" s="208"/>
      <c r="IRL303" s="208"/>
      <c r="IRM303" s="208"/>
      <c r="IRN303" s="208"/>
      <c r="IRO303" s="208"/>
      <c r="IRP303" s="208"/>
      <c r="IRQ303" s="208"/>
      <c r="IRR303" s="208"/>
      <c r="IRS303" s="208"/>
      <c r="IRT303" s="208"/>
      <c r="IRU303" s="208"/>
      <c r="IRV303" s="208"/>
      <c r="IRW303" s="208"/>
      <c r="IRX303" s="208"/>
      <c r="IRY303" s="208"/>
      <c r="IRZ303" s="208"/>
      <c r="ISA303" s="208"/>
      <c r="ISB303" s="208"/>
      <c r="ISC303" s="208"/>
      <c r="ISD303" s="208"/>
      <c r="ISE303" s="208"/>
      <c r="ISF303" s="208"/>
      <c r="ISG303" s="208"/>
      <c r="ISH303" s="208"/>
      <c r="ISI303" s="208"/>
      <c r="ISJ303" s="208"/>
      <c r="ISK303" s="208"/>
      <c r="ISL303" s="208"/>
      <c r="ISM303" s="208"/>
      <c r="ISN303" s="208"/>
      <c r="ISO303" s="208"/>
      <c r="ISP303" s="208"/>
      <c r="ISQ303" s="208"/>
      <c r="ISR303" s="208"/>
      <c r="ISS303" s="208"/>
      <c r="IST303" s="208"/>
      <c r="ISU303" s="208"/>
      <c r="ISV303" s="208"/>
      <c r="ISW303" s="208"/>
      <c r="ISX303" s="208"/>
      <c r="ISY303" s="208"/>
      <c r="ISZ303" s="208"/>
      <c r="ITA303" s="208"/>
      <c r="ITB303" s="208"/>
      <c r="ITC303" s="208"/>
      <c r="ITD303" s="208"/>
      <c r="ITE303" s="208"/>
      <c r="ITF303" s="208"/>
      <c r="ITG303" s="208"/>
      <c r="ITH303" s="208"/>
      <c r="ITI303" s="208"/>
      <c r="ITJ303" s="208"/>
      <c r="ITK303" s="208"/>
      <c r="ITL303" s="208"/>
      <c r="ITM303" s="208"/>
      <c r="ITN303" s="208"/>
      <c r="ITO303" s="208"/>
      <c r="ITP303" s="208"/>
      <c r="ITQ303" s="208"/>
      <c r="ITR303" s="208"/>
      <c r="ITS303" s="208"/>
      <c r="ITT303" s="208"/>
      <c r="ITU303" s="208"/>
      <c r="ITV303" s="208"/>
      <c r="ITW303" s="208"/>
      <c r="ITX303" s="208"/>
      <c r="ITY303" s="208"/>
      <c r="ITZ303" s="208"/>
      <c r="IUA303" s="208"/>
      <c r="IUB303" s="208"/>
      <c r="IUC303" s="208"/>
      <c r="IUD303" s="208"/>
      <c r="IUE303" s="208"/>
      <c r="IUF303" s="208"/>
      <c r="IUG303" s="208"/>
      <c r="IUH303" s="208"/>
      <c r="IUI303" s="208"/>
      <c r="IUJ303" s="208"/>
      <c r="IUK303" s="208"/>
      <c r="IUL303" s="208"/>
      <c r="IUM303" s="208"/>
      <c r="IUN303" s="208"/>
      <c r="IUO303" s="208"/>
      <c r="IUP303" s="208"/>
      <c r="IUQ303" s="208"/>
      <c r="IUR303" s="208"/>
      <c r="IUS303" s="208"/>
      <c r="IUT303" s="208"/>
      <c r="IUU303" s="208"/>
      <c r="IUV303" s="208"/>
      <c r="IUW303" s="208"/>
      <c r="IUX303" s="208"/>
      <c r="IUY303" s="208"/>
      <c r="IUZ303" s="208"/>
      <c r="IVA303" s="208"/>
      <c r="IVB303" s="208"/>
      <c r="IVC303" s="208"/>
      <c r="IVD303" s="208"/>
      <c r="IVE303" s="208"/>
      <c r="IVF303" s="208"/>
      <c r="IVG303" s="208"/>
      <c r="IVH303" s="208"/>
      <c r="IVI303" s="208"/>
      <c r="IVJ303" s="208"/>
      <c r="IVK303" s="208"/>
      <c r="IVL303" s="208"/>
      <c r="IVM303" s="208"/>
      <c r="IVN303" s="208"/>
      <c r="IVO303" s="208"/>
      <c r="IVP303" s="208"/>
      <c r="IVQ303" s="208"/>
      <c r="IVR303" s="208"/>
      <c r="IVS303" s="208"/>
      <c r="IVT303" s="208"/>
      <c r="IVU303" s="208"/>
      <c r="IVV303" s="208"/>
      <c r="IVW303" s="208"/>
      <c r="IVX303" s="208"/>
      <c r="IVY303" s="208"/>
      <c r="IVZ303" s="208"/>
      <c r="IWA303" s="208"/>
      <c r="IWB303" s="208"/>
      <c r="IWC303" s="208"/>
      <c r="IWD303" s="208"/>
      <c r="IWE303" s="208"/>
      <c r="IWF303" s="208"/>
      <c r="IWG303" s="208"/>
      <c r="IWH303" s="208"/>
      <c r="IWI303" s="208"/>
      <c r="IWJ303" s="208"/>
      <c r="IWK303" s="208"/>
      <c r="IWL303" s="208"/>
      <c r="IWM303" s="208"/>
      <c r="IWN303" s="208"/>
      <c r="IWO303" s="208"/>
      <c r="IWP303" s="208"/>
      <c r="IWQ303" s="208"/>
      <c r="IWR303" s="208"/>
      <c r="IWS303" s="208"/>
      <c r="IWT303" s="208"/>
      <c r="IWU303" s="208"/>
      <c r="IWV303" s="208"/>
      <c r="IWW303" s="208"/>
      <c r="IWX303" s="208"/>
      <c r="IWY303" s="208"/>
      <c r="IWZ303" s="208"/>
      <c r="IXA303" s="208"/>
      <c r="IXB303" s="208"/>
      <c r="IXC303" s="208"/>
      <c r="IXD303" s="208"/>
      <c r="IXE303" s="208"/>
      <c r="IXF303" s="208"/>
      <c r="IXG303" s="208"/>
      <c r="IXH303" s="208"/>
      <c r="IXI303" s="208"/>
      <c r="IXJ303" s="208"/>
      <c r="IXK303" s="208"/>
      <c r="IXL303" s="208"/>
      <c r="IXM303" s="208"/>
      <c r="IXN303" s="208"/>
      <c r="IXO303" s="208"/>
      <c r="IXP303" s="208"/>
      <c r="IXQ303" s="208"/>
      <c r="IXR303" s="208"/>
      <c r="IXS303" s="208"/>
      <c r="IXT303" s="208"/>
      <c r="IXU303" s="208"/>
      <c r="IXV303" s="208"/>
      <c r="IXW303" s="208"/>
      <c r="IXX303" s="208"/>
      <c r="IXY303" s="208"/>
      <c r="IXZ303" s="208"/>
      <c r="IYA303" s="208"/>
      <c r="IYB303" s="208"/>
      <c r="IYC303" s="208"/>
      <c r="IYD303" s="208"/>
      <c r="IYE303" s="208"/>
      <c r="IYF303" s="208"/>
      <c r="IYG303" s="208"/>
      <c r="IYH303" s="208"/>
      <c r="IYI303" s="208"/>
      <c r="IYJ303" s="208"/>
      <c r="IYK303" s="208"/>
      <c r="IYL303" s="208"/>
      <c r="IYM303" s="208"/>
      <c r="IYN303" s="208"/>
      <c r="IYO303" s="208"/>
      <c r="IYP303" s="208"/>
      <c r="IYQ303" s="208"/>
      <c r="IYR303" s="208"/>
      <c r="IYS303" s="208"/>
      <c r="IYT303" s="208"/>
      <c r="IYU303" s="208"/>
      <c r="IYV303" s="208"/>
      <c r="IYW303" s="208"/>
      <c r="IYX303" s="208"/>
      <c r="IYY303" s="208"/>
      <c r="IYZ303" s="208"/>
      <c r="IZA303" s="208"/>
      <c r="IZB303" s="208"/>
      <c r="IZC303" s="208"/>
      <c r="IZD303" s="208"/>
      <c r="IZE303" s="208"/>
      <c r="IZF303" s="208"/>
      <c r="IZG303" s="208"/>
      <c r="IZH303" s="208"/>
      <c r="IZI303" s="208"/>
      <c r="IZJ303" s="208"/>
      <c r="IZK303" s="208"/>
      <c r="IZL303" s="208"/>
      <c r="IZM303" s="208"/>
      <c r="IZN303" s="208"/>
      <c r="IZO303" s="208"/>
      <c r="IZP303" s="208"/>
      <c r="IZQ303" s="208"/>
      <c r="IZR303" s="208"/>
      <c r="IZS303" s="208"/>
      <c r="IZT303" s="208"/>
      <c r="IZU303" s="208"/>
      <c r="IZV303" s="208"/>
      <c r="IZW303" s="208"/>
      <c r="IZX303" s="208"/>
      <c r="IZY303" s="208"/>
      <c r="IZZ303" s="208"/>
      <c r="JAA303" s="208"/>
      <c r="JAB303" s="208"/>
      <c r="JAC303" s="208"/>
      <c r="JAD303" s="208"/>
      <c r="JAE303" s="208"/>
      <c r="JAF303" s="208"/>
      <c r="JAG303" s="208"/>
      <c r="JAH303" s="208"/>
      <c r="JAI303" s="208"/>
      <c r="JAJ303" s="208"/>
      <c r="JAK303" s="208"/>
      <c r="JAL303" s="208"/>
      <c r="JAM303" s="208"/>
      <c r="JAN303" s="208"/>
      <c r="JAO303" s="208"/>
      <c r="JAP303" s="208"/>
      <c r="JAQ303" s="208"/>
      <c r="JAR303" s="208"/>
      <c r="JAS303" s="208"/>
      <c r="JAT303" s="208"/>
      <c r="JAU303" s="208"/>
      <c r="JAV303" s="208"/>
      <c r="JAW303" s="208"/>
      <c r="JAX303" s="208"/>
      <c r="JAY303" s="208"/>
      <c r="JAZ303" s="208"/>
      <c r="JBA303" s="208"/>
      <c r="JBB303" s="208"/>
      <c r="JBC303" s="208"/>
      <c r="JBD303" s="208"/>
      <c r="JBE303" s="208"/>
      <c r="JBF303" s="208"/>
      <c r="JBG303" s="208"/>
      <c r="JBH303" s="208"/>
      <c r="JBI303" s="208"/>
      <c r="JBJ303" s="208"/>
      <c r="JBK303" s="208"/>
      <c r="JBL303" s="208"/>
      <c r="JBM303" s="208"/>
      <c r="JBN303" s="208"/>
      <c r="JBO303" s="208"/>
      <c r="JBP303" s="208"/>
      <c r="JBQ303" s="208"/>
      <c r="JBR303" s="208"/>
      <c r="JBS303" s="208"/>
      <c r="JBT303" s="208"/>
      <c r="JBU303" s="208"/>
      <c r="JBV303" s="208"/>
      <c r="JBW303" s="208"/>
      <c r="JBX303" s="208"/>
      <c r="JBY303" s="208"/>
      <c r="JBZ303" s="208"/>
      <c r="JCA303" s="208"/>
      <c r="JCB303" s="208"/>
      <c r="JCC303" s="208"/>
      <c r="JCD303" s="208"/>
      <c r="JCE303" s="208"/>
      <c r="JCF303" s="208"/>
      <c r="JCG303" s="208"/>
      <c r="JCH303" s="208"/>
      <c r="JCI303" s="208"/>
      <c r="JCJ303" s="208"/>
      <c r="JCK303" s="208"/>
      <c r="JCL303" s="208"/>
      <c r="JCM303" s="208"/>
      <c r="JCN303" s="208"/>
      <c r="JCO303" s="208"/>
      <c r="JCP303" s="208"/>
      <c r="JCQ303" s="208"/>
      <c r="JCR303" s="208"/>
      <c r="JCS303" s="208"/>
      <c r="JCT303" s="208"/>
      <c r="JCU303" s="208"/>
      <c r="JCV303" s="208"/>
      <c r="JCW303" s="208"/>
      <c r="JCX303" s="208"/>
      <c r="JCY303" s="208"/>
      <c r="JCZ303" s="208"/>
      <c r="JDA303" s="208"/>
      <c r="JDB303" s="208"/>
      <c r="JDC303" s="208"/>
      <c r="JDD303" s="208"/>
      <c r="JDE303" s="208"/>
      <c r="JDF303" s="208"/>
      <c r="JDG303" s="208"/>
      <c r="JDH303" s="208"/>
      <c r="JDI303" s="208"/>
      <c r="JDJ303" s="208"/>
      <c r="JDK303" s="208"/>
      <c r="JDL303" s="208"/>
      <c r="JDM303" s="208"/>
      <c r="JDN303" s="208"/>
      <c r="JDO303" s="208"/>
      <c r="JDP303" s="208"/>
      <c r="JDQ303" s="208"/>
      <c r="JDR303" s="208"/>
      <c r="JDS303" s="208"/>
      <c r="JDT303" s="208"/>
      <c r="JDU303" s="208"/>
      <c r="JDV303" s="208"/>
      <c r="JDW303" s="208"/>
      <c r="JDX303" s="208"/>
      <c r="JDY303" s="208"/>
      <c r="JDZ303" s="208"/>
      <c r="JEA303" s="208"/>
      <c r="JEB303" s="208"/>
      <c r="JEC303" s="208"/>
      <c r="JED303" s="208"/>
      <c r="JEE303" s="208"/>
      <c r="JEF303" s="208"/>
      <c r="JEG303" s="208"/>
      <c r="JEH303" s="208"/>
      <c r="JEI303" s="208"/>
      <c r="JEJ303" s="208"/>
      <c r="JEK303" s="208"/>
      <c r="JEL303" s="208"/>
      <c r="JEM303" s="208"/>
      <c r="JEN303" s="208"/>
      <c r="JEO303" s="208"/>
      <c r="JEP303" s="208"/>
      <c r="JEQ303" s="208"/>
      <c r="JER303" s="208"/>
      <c r="JES303" s="208"/>
      <c r="JET303" s="208"/>
      <c r="JEU303" s="208"/>
      <c r="JEV303" s="208"/>
      <c r="JEW303" s="208"/>
      <c r="JEX303" s="208"/>
      <c r="JEY303" s="208"/>
      <c r="JEZ303" s="208"/>
      <c r="JFA303" s="208"/>
      <c r="JFB303" s="208"/>
      <c r="JFC303" s="208"/>
      <c r="JFD303" s="208"/>
      <c r="JFE303" s="208"/>
      <c r="JFF303" s="208"/>
      <c r="JFG303" s="208"/>
      <c r="JFH303" s="208"/>
      <c r="JFI303" s="208"/>
      <c r="JFJ303" s="208"/>
      <c r="JFK303" s="208"/>
      <c r="JFL303" s="208"/>
      <c r="JFM303" s="208"/>
      <c r="JFN303" s="208"/>
      <c r="JFO303" s="208"/>
      <c r="JFP303" s="208"/>
      <c r="JFQ303" s="208"/>
      <c r="JFR303" s="208"/>
      <c r="JFS303" s="208"/>
      <c r="JFT303" s="208"/>
      <c r="JFU303" s="208"/>
      <c r="JFV303" s="208"/>
      <c r="JFW303" s="208"/>
      <c r="JFX303" s="208"/>
      <c r="JFY303" s="208"/>
      <c r="JFZ303" s="208"/>
      <c r="JGA303" s="208"/>
      <c r="JGB303" s="208"/>
      <c r="JGC303" s="208"/>
      <c r="JGD303" s="208"/>
      <c r="JGE303" s="208"/>
      <c r="JGF303" s="208"/>
      <c r="JGG303" s="208"/>
      <c r="JGH303" s="208"/>
      <c r="JGI303" s="208"/>
      <c r="JGJ303" s="208"/>
      <c r="JGK303" s="208"/>
      <c r="JGL303" s="208"/>
      <c r="JGM303" s="208"/>
      <c r="JGN303" s="208"/>
      <c r="JGO303" s="208"/>
      <c r="JGP303" s="208"/>
      <c r="JGQ303" s="208"/>
      <c r="JGR303" s="208"/>
      <c r="JGS303" s="208"/>
      <c r="JGT303" s="208"/>
      <c r="JGU303" s="208"/>
      <c r="JGV303" s="208"/>
      <c r="JGW303" s="208"/>
      <c r="JGX303" s="208"/>
      <c r="JGY303" s="208"/>
      <c r="JGZ303" s="208"/>
      <c r="JHA303" s="208"/>
      <c r="JHB303" s="208"/>
      <c r="JHC303" s="208"/>
      <c r="JHD303" s="208"/>
      <c r="JHE303" s="208"/>
      <c r="JHF303" s="208"/>
      <c r="JHG303" s="208"/>
      <c r="JHH303" s="208"/>
      <c r="JHI303" s="208"/>
      <c r="JHJ303" s="208"/>
      <c r="JHK303" s="208"/>
      <c r="JHL303" s="208"/>
      <c r="JHM303" s="208"/>
      <c r="JHN303" s="208"/>
      <c r="JHO303" s="208"/>
      <c r="JHP303" s="208"/>
      <c r="JHQ303" s="208"/>
      <c r="JHR303" s="208"/>
      <c r="JHS303" s="208"/>
      <c r="JHT303" s="208"/>
      <c r="JHU303" s="208"/>
      <c r="JHV303" s="208"/>
      <c r="JHW303" s="208"/>
      <c r="JHX303" s="208"/>
      <c r="JHY303" s="208"/>
      <c r="JHZ303" s="208"/>
      <c r="JIA303" s="208"/>
      <c r="JIB303" s="208"/>
      <c r="JIC303" s="208"/>
      <c r="JID303" s="208"/>
      <c r="JIE303" s="208"/>
      <c r="JIF303" s="208"/>
      <c r="JIG303" s="208"/>
      <c r="JIH303" s="208"/>
      <c r="JII303" s="208"/>
      <c r="JIJ303" s="208"/>
      <c r="JIK303" s="208"/>
      <c r="JIL303" s="208"/>
      <c r="JIM303" s="208"/>
      <c r="JIN303" s="208"/>
      <c r="JIO303" s="208"/>
      <c r="JIP303" s="208"/>
      <c r="JIQ303" s="208"/>
      <c r="JIR303" s="208"/>
      <c r="JIS303" s="208"/>
      <c r="JIT303" s="208"/>
      <c r="JIU303" s="208"/>
      <c r="JIV303" s="208"/>
      <c r="JIW303" s="208"/>
      <c r="JIX303" s="208"/>
      <c r="JIY303" s="208"/>
      <c r="JIZ303" s="208"/>
      <c r="JJA303" s="208"/>
      <c r="JJB303" s="208"/>
      <c r="JJC303" s="208"/>
      <c r="JJD303" s="208"/>
      <c r="JJE303" s="208"/>
      <c r="JJF303" s="208"/>
      <c r="JJG303" s="208"/>
      <c r="JJH303" s="208"/>
      <c r="JJI303" s="208"/>
      <c r="JJJ303" s="208"/>
      <c r="JJK303" s="208"/>
      <c r="JJL303" s="208"/>
      <c r="JJM303" s="208"/>
      <c r="JJN303" s="208"/>
      <c r="JJO303" s="208"/>
      <c r="JJP303" s="208"/>
      <c r="JJQ303" s="208"/>
      <c r="JJR303" s="208"/>
      <c r="JJS303" s="208"/>
      <c r="JJT303" s="208"/>
      <c r="JJU303" s="208"/>
      <c r="JJV303" s="208"/>
      <c r="JJW303" s="208"/>
      <c r="JJX303" s="208"/>
      <c r="JJY303" s="208"/>
      <c r="JJZ303" s="208"/>
      <c r="JKA303" s="208"/>
      <c r="JKB303" s="208"/>
      <c r="JKC303" s="208"/>
      <c r="JKD303" s="208"/>
      <c r="JKE303" s="208"/>
      <c r="JKF303" s="208"/>
      <c r="JKG303" s="208"/>
      <c r="JKH303" s="208"/>
      <c r="JKI303" s="208"/>
      <c r="JKJ303" s="208"/>
      <c r="JKK303" s="208"/>
      <c r="JKL303" s="208"/>
      <c r="JKM303" s="208"/>
      <c r="JKN303" s="208"/>
      <c r="JKO303" s="208"/>
      <c r="JKP303" s="208"/>
      <c r="JKQ303" s="208"/>
      <c r="JKR303" s="208"/>
      <c r="JKS303" s="208"/>
      <c r="JKT303" s="208"/>
      <c r="JKU303" s="208"/>
      <c r="JKV303" s="208"/>
      <c r="JKW303" s="208"/>
      <c r="JKX303" s="208"/>
      <c r="JKY303" s="208"/>
      <c r="JKZ303" s="208"/>
      <c r="JLA303" s="208"/>
      <c r="JLB303" s="208"/>
      <c r="JLC303" s="208"/>
      <c r="JLD303" s="208"/>
      <c r="JLE303" s="208"/>
      <c r="JLF303" s="208"/>
      <c r="JLG303" s="208"/>
      <c r="JLH303" s="208"/>
      <c r="JLI303" s="208"/>
      <c r="JLJ303" s="208"/>
      <c r="JLK303" s="208"/>
      <c r="JLL303" s="208"/>
      <c r="JLM303" s="208"/>
      <c r="JLN303" s="208"/>
      <c r="JLO303" s="208"/>
      <c r="JLP303" s="208"/>
      <c r="JLQ303" s="208"/>
      <c r="JLR303" s="208"/>
      <c r="JLS303" s="208"/>
      <c r="JLT303" s="208"/>
      <c r="JLU303" s="208"/>
      <c r="JLV303" s="208"/>
      <c r="JLW303" s="208"/>
      <c r="JLX303" s="208"/>
      <c r="JLY303" s="208"/>
      <c r="JLZ303" s="208"/>
      <c r="JMA303" s="208"/>
      <c r="JMB303" s="208"/>
      <c r="JMC303" s="208"/>
      <c r="JMD303" s="208"/>
      <c r="JME303" s="208"/>
      <c r="JMF303" s="208"/>
      <c r="JMG303" s="208"/>
      <c r="JMH303" s="208"/>
      <c r="JMI303" s="208"/>
      <c r="JMJ303" s="208"/>
      <c r="JMK303" s="208"/>
      <c r="JML303" s="208"/>
      <c r="JMM303" s="208"/>
      <c r="JMN303" s="208"/>
      <c r="JMO303" s="208"/>
      <c r="JMP303" s="208"/>
      <c r="JMQ303" s="208"/>
      <c r="JMR303" s="208"/>
      <c r="JMS303" s="208"/>
      <c r="JMT303" s="208"/>
      <c r="JMU303" s="208"/>
      <c r="JMV303" s="208"/>
      <c r="JMW303" s="208"/>
      <c r="JMX303" s="208"/>
      <c r="JMY303" s="208"/>
      <c r="JMZ303" s="208"/>
      <c r="JNA303" s="208"/>
      <c r="JNB303" s="208"/>
      <c r="JNC303" s="208"/>
      <c r="JND303" s="208"/>
      <c r="JNE303" s="208"/>
      <c r="JNF303" s="208"/>
      <c r="JNG303" s="208"/>
      <c r="JNH303" s="208"/>
      <c r="JNI303" s="208"/>
      <c r="JNJ303" s="208"/>
      <c r="JNK303" s="208"/>
      <c r="JNL303" s="208"/>
      <c r="JNM303" s="208"/>
      <c r="JNN303" s="208"/>
      <c r="JNO303" s="208"/>
      <c r="JNP303" s="208"/>
      <c r="JNQ303" s="208"/>
      <c r="JNR303" s="208"/>
      <c r="JNS303" s="208"/>
      <c r="JNT303" s="208"/>
      <c r="JNU303" s="208"/>
      <c r="JNV303" s="208"/>
      <c r="JNW303" s="208"/>
      <c r="JNX303" s="208"/>
      <c r="JNY303" s="208"/>
      <c r="JNZ303" s="208"/>
      <c r="JOA303" s="208"/>
      <c r="JOB303" s="208"/>
      <c r="JOC303" s="208"/>
      <c r="JOD303" s="208"/>
      <c r="JOE303" s="208"/>
      <c r="JOF303" s="208"/>
      <c r="JOG303" s="208"/>
      <c r="JOH303" s="208"/>
      <c r="JOI303" s="208"/>
      <c r="JOJ303" s="208"/>
      <c r="JOK303" s="208"/>
      <c r="JOL303" s="208"/>
      <c r="JOM303" s="208"/>
      <c r="JON303" s="208"/>
      <c r="JOO303" s="208"/>
      <c r="JOP303" s="208"/>
      <c r="JOQ303" s="208"/>
      <c r="JOR303" s="208"/>
      <c r="JOS303" s="208"/>
      <c r="JOT303" s="208"/>
      <c r="JOU303" s="208"/>
      <c r="JOV303" s="208"/>
      <c r="JOW303" s="208"/>
      <c r="JOX303" s="208"/>
      <c r="JOY303" s="208"/>
      <c r="JOZ303" s="208"/>
      <c r="JPA303" s="208"/>
      <c r="JPB303" s="208"/>
      <c r="JPC303" s="208"/>
      <c r="JPD303" s="208"/>
      <c r="JPE303" s="208"/>
      <c r="JPF303" s="208"/>
      <c r="JPG303" s="208"/>
      <c r="JPH303" s="208"/>
      <c r="JPI303" s="208"/>
      <c r="JPJ303" s="208"/>
      <c r="JPK303" s="208"/>
      <c r="JPL303" s="208"/>
      <c r="JPM303" s="208"/>
      <c r="JPN303" s="208"/>
      <c r="JPO303" s="208"/>
      <c r="JPP303" s="208"/>
      <c r="JPQ303" s="208"/>
      <c r="JPR303" s="208"/>
      <c r="JPS303" s="208"/>
      <c r="JPT303" s="208"/>
      <c r="JPU303" s="208"/>
      <c r="JPV303" s="208"/>
      <c r="JPW303" s="208"/>
      <c r="JPX303" s="208"/>
      <c r="JPY303" s="208"/>
      <c r="JPZ303" s="208"/>
      <c r="JQA303" s="208"/>
      <c r="JQB303" s="208"/>
      <c r="JQC303" s="208"/>
      <c r="JQD303" s="208"/>
      <c r="JQE303" s="208"/>
      <c r="JQF303" s="208"/>
      <c r="JQG303" s="208"/>
      <c r="JQH303" s="208"/>
      <c r="JQI303" s="208"/>
      <c r="JQJ303" s="208"/>
      <c r="JQK303" s="208"/>
      <c r="JQL303" s="208"/>
      <c r="JQM303" s="208"/>
      <c r="JQN303" s="208"/>
      <c r="JQO303" s="208"/>
      <c r="JQP303" s="208"/>
      <c r="JQQ303" s="208"/>
      <c r="JQR303" s="208"/>
      <c r="JQS303" s="208"/>
      <c r="JQT303" s="208"/>
      <c r="JQU303" s="208"/>
      <c r="JQV303" s="208"/>
      <c r="JQW303" s="208"/>
      <c r="JQX303" s="208"/>
      <c r="JQY303" s="208"/>
      <c r="JQZ303" s="208"/>
      <c r="JRA303" s="208"/>
      <c r="JRB303" s="208"/>
      <c r="JRC303" s="208"/>
      <c r="JRD303" s="208"/>
      <c r="JRE303" s="208"/>
      <c r="JRF303" s="208"/>
      <c r="JRG303" s="208"/>
      <c r="JRH303" s="208"/>
      <c r="JRI303" s="208"/>
      <c r="JRJ303" s="208"/>
      <c r="JRK303" s="208"/>
      <c r="JRL303" s="208"/>
      <c r="JRM303" s="208"/>
      <c r="JRN303" s="208"/>
      <c r="JRO303" s="208"/>
      <c r="JRP303" s="208"/>
      <c r="JRQ303" s="208"/>
      <c r="JRR303" s="208"/>
      <c r="JRS303" s="208"/>
      <c r="JRT303" s="208"/>
      <c r="JRU303" s="208"/>
      <c r="JRV303" s="208"/>
      <c r="JRW303" s="208"/>
      <c r="JRX303" s="208"/>
      <c r="JRY303" s="208"/>
      <c r="JRZ303" s="208"/>
      <c r="JSA303" s="208"/>
      <c r="JSB303" s="208"/>
      <c r="JSC303" s="208"/>
      <c r="JSD303" s="208"/>
      <c r="JSE303" s="208"/>
      <c r="JSF303" s="208"/>
      <c r="JSG303" s="208"/>
      <c r="JSH303" s="208"/>
      <c r="JSI303" s="208"/>
      <c r="JSJ303" s="208"/>
      <c r="JSK303" s="208"/>
      <c r="JSL303" s="208"/>
      <c r="JSM303" s="208"/>
      <c r="JSN303" s="208"/>
      <c r="JSO303" s="208"/>
      <c r="JSP303" s="208"/>
      <c r="JSQ303" s="208"/>
      <c r="JSR303" s="208"/>
      <c r="JSS303" s="208"/>
      <c r="JST303" s="208"/>
      <c r="JSU303" s="208"/>
      <c r="JSV303" s="208"/>
      <c r="JSW303" s="208"/>
      <c r="JSX303" s="208"/>
      <c r="JSY303" s="208"/>
      <c r="JSZ303" s="208"/>
      <c r="JTA303" s="208"/>
      <c r="JTB303" s="208"/>
      <c r="JTC303" s="208"/>
      <c r="JTD303" s="208"/>
      <c r="JTE303" s="208"/>
      <c r="JTF303" s="208"/>
      <c r="JTG303" s="208"/>
      <c r="JTH303" s="208"/>
      <c r="JTI303" s="208"/>
      <c r="JTJ303" s="208"/>
      <c r="JTK303" s="208"/>
      <c r="JTL303" s="208"/>
      <c r="JTM303" s="208"/>
      <c r="JTN303" s="208"/>
      <c r="JTO303" s="208"/>
      <c r="JTP303" s="208"/>
      <c r="JTQ303" s="208"/>
      <c r="JTR303" s="208"/>
      <c r="JTS303" s="208"/>
      <c r="JTT303" s="208"/>
      <c r="JTU303" s="208"/>
      <c r="JTV303" s="208"/>
      <c r="JTW303" s="208"/>
      <c r="JTX303" s="208"/>
      <c r="JTY303" s="208"/>
      <c r="JTZ303" s="208"/>
      <c r="JUA303" s="208"/>
      <c r="JUB303" s="208"/>
      <c r="JUC303" s="208"/>
      <c r="JUD303" s="208"/>
      <c r="JUE303" s="208"/>
      <c r="JUF303" s="208"/>
      <c r="JUG303" s="208"/>
      <c r="JUH303" s="208"/>
      <c r="JUI303" s="208"/>
      <c r="JUJ303" s="208"/>
      <c r="JUK303" s="208"/>
      <c r="JUL303" s="208"/>
      <c r="JUM303" s="208"/>
      <c r="JUN303" s="208"/>
      <c r="JUO303" s="208"/>
      <c r="JUP303" s="208"/>
      <c r="JUQ303" s="208"/>
      <c r="JUR303" s="208"/>
      <c r="JUS303" s="208"/>
      <c r="JUT303" s="208"/>
      <c r="JUU303" s="208"/>
      <c r="JUV303" s="208"/>
      <c r="JUW303" s="208"/>
      <c r="JUX303" s="208"/>
      <c r="JUY303" s="208"/>
      <c r="JUZ303" s="208"/>
      <c r="JVA303" s="208"/>
      <c r="JVB303" s="208"/>
      <c r="JVC303" s="208"/>
      <c r="JVD303" s="208"/>
      <c r="JVE303" s="208"/>
      <c r="JVF303" s="208"/>
      <c r="JVG303" s="208"/>
      <c r="JVH303" s="208"/>
      <c r="JVI303" s="208"/>
      <c r="JVJ303" s="208"/>
      <c r="JVK303" s="208"/>
      <c r="JVL303" s="208"/>
      <c r="JVM303" s="208"/>
      <c r="JVN303" s="208"/>
      <c r="JVO303" s="208"/>
      <c r="JVP303" s="208"/>
      <c r="JVQ303" s="208"/>
      <c r="JVR303" s="208"/>
      <c r="JVS303" s="208"/>
      <c r="JVT303" s="208"/>
      <c r="JVU303" s="208"/>
      <c r="JVV303" s="208"/>
      <c r="JVW303" s="208"/>
      <c r="JVX303" s="208"/>
      <c r="JVY303" s="208"/>
      <c r="JVZ303" s="208"/>
      <c r="JWA303" s="208"/>
      <c r="JWB303" s="208"/>
      <c r="JWC303" s="208"/>
      <c r="JWD303" s="208"/>
      <c r="JWE303" s="208"/>
      <c r="JWF303" s="208"/>
      <c r="JWG303" s="208"/>
      <c r="JWH303" s="208"/>
      <c r="JWI303" s="208"/>
      <c r="JWJ303" s="208"/>
      <c r="JWK303" s="208"/>
      <c r="JWL303" s="208"/>
      <c r="JWM303" s="208"/>
      <c r="JWN303" s="208"/>
      <c r="JWO303" s="208"/>
      <c r="JWP303" s="208"/>
      <c r="JWQ303" s="208"/>
      <c r="JWR303" s="208"/>
      <c r="JWS303" s="208"/>
      <c r="JWT303" s="208"/>
      <c r="JWU303" s="208"/>
      <c r="JWV303" s="208"/>
      <c r="JWW303" s="208"/>
      <c r="JWX303" s="208"/>
      <c r="JWY303" s="208"/>
      <c r="JWZ303" s="208"/>
      <c r="JXA303" s="208"/>
      <c r="JXB303" s="208"/>
      <c r="JXC303" s="208"/>
      <c r="JXD303" s="208"/>
      <c r="JXE303" s="208"/>
      <c r="JXF303" s="208"/>
      <c r="JXG303" s="208"/>
      <c r="JXH303" s="208"/>
      <c r="JXI303" s="208"/>
      <c r="JXJ303" s="208"/>
      <c r="JXK303" s="208"/>
      <c r="JXL303" s="208"/>
      <c r="JXM303" s="208"/>
      <c r="JXN303" s="208"/>
      <c r="JXO303" s="208"/>
      <c r="JXP303" s="208"/>
      <c r="JXQ303" s="208"/>
      <c r="JXR303" s="208"/>
      <c r="JXS303" s="208"/>
      <c r="JXT303" s="208"/>
      <c r="JXU303" s="208"/>
      <c r="JXV303" s="208"/>
      <c r="JXW303" s="208"/>
      <c r="JXX303" s="208"/>
      <c r="JXY303" s="208"/>
      <c r="JXZ303" s="208"/>
      <c r="JYA303" s="208"/>
      <c r="JYB303" s="208"/>
      <c r="JYC303" s="208"/>
      <c r="JYD303" s="208"/>
      <c r="JYE303" s="208"/>
      <c r="JYF303" s="208"/>
      <c r="JYG303" s="208"/>
      <c r="JYH303" s="208"/>
      <c r="JYI303" s="208"/>
      <c r="JYJ303" s="208"/>
      <c r="JYK303" s="208"/>
      <c r="JYL303" s="208"/>
      <c r="JYM303" s="208"/>
      <c r="JYN303" s="208"/>
      <c r="JYO303" s="208"/>
      <c r="JYP303" s="208"/>
      <c r="JYQ303" s="208"/>
      <c r="JYR303" s="208"/>
      <c r="JYS303" s="208"/>
      <c r="JYT303" s="208"/>
      <c r="JYU303" s="208"/>
      <c r="JYV303" s="208"/>
      <c r="JYW303" s="208"/>
      <c r="JYX303" s="208"/>
      <c r="JYY303" s="208"/>
      <c r="JYZ303" s="208"/>
      <c r="JZA303" s="208"/>
      <c r="JZB303" s="208"/>
      <c r="JZC303" s="208"/>
      <c r="JZD303" s="208"/>
      <c r="JZE303" s="208"/>
      <c r="JZF303" s="208"/>
      <c r="JZG303" s="208"/>
      <c r="JZH303" s="208"/>
      <c r="JZI303" s="208"/>
      <c r="JZJ303" s="208"/>
      <c r="JZK303" s="208"/>
      <c r="JZL303" s="208"/>
      <c r="JZM303" s="208"/>
      <c r="JZN303" s="208"/>
      <c r="JZO303" s="208"/>
      <c r="JZP303" s="208"/>
      <c r="JZQ303" s="208"/>
      <c r="JZR303" s="208"/>
      <c r="JZS303" s="208"/>
      <c r="JZT303" s="208"/>
      <c r="JZU303" s="208"/>
      <c r="JZV303" s="208"/>
      <c r="JZW303" s="208"/>
      <c r="JZX303" s="208"/>
      <c r="JZY303" s="208"/>
      <c r="JZZ303" s="208"/>
      <c r="KAA303" s="208"/>
      <c r="KAB303" s="208"/>
      <c r="KAC303" s="208"/>
      <c r="KAD303" s="208"/>
      <c r="KAE303" s="208"/>
      <c r="KAF303" s="208"/>
      <c r="KAG303" s="208"/>
      <c r="KAH303" s="208"/>
      <c r="KAI303" s="208"/>
      <c r="KAJ303" s="208"/>
      <c r="KAK303" s="208"/>
      <c r="KAL303" s="208"/>
      <c r="KAM303" s="208"/>
      <c r="KAN303" s="208"/>
      <c r="KAO303" s="208"/>
      <c r="KAP303" s="208"/>
      <c r="KAQ303" s="208"/>
      <c r="KAR303" s="208"/>
      <c r="KAS303" s="208"/>
      <c r="KAT303" s="208"/>
      <c r="KAU303" s="208"/>
      <c r="KAV303" s="208"/>
      <c r="KAW303" s="208"/>
      <c r="KAX303" s="208"/>
      <c r="KAY303" s="208"/>
      <c r="KAZ303" s="208"/>
      <c r="KBA303" s="208"/>
      <c r="KBB303" s="208"/>
      <c r="KBC303" s="208"/>
      <c r="KBD303" s="208"/>
      <c r="KBE303" s="208"/>
      <c r="KBF303" s="208"/>
      <c r="KBG303" s="208"/>
      <c r="KBH303" s="208"/>
      <c r="KBI303" s="208"/>
      <c r="KBJ303" s="208"/>
      <c r="KBK303" s="208"/>
      <c r="KBL303" s="208"/>
      <c r="KBM303" s="208"/>
      <c r="KBN303" s="208"/>
      <c r="KBO303" s="208"/>
      <c r="KBP303" s="208"/>
      <c r="KBQ303" s="208"/>
      <c r="KBR303" s="208"/>
      <c r="KBS303" s="208"/>
      <c r="KBT303" s="208"/>
      <c r="KBU303" s="208"/>
      <c r="KBV303" s="208"/>
      <c r="KBW303" s="208"/>
      <c r="KBX303" s="208"/>
      <c r="KBY303" s="208"/>
      <c r="KBZ303" s="208"/>
      <c r="KCA303" s="208"/>
      <c r="KCB303" s="208"/>
      <c r="KCC303" s="208"/>
      <c r="KCD303" s="208"/>
      <c r="KCE303" s="208"/>
      <c r="KCF303" s="208"/>
      <c r="KCG303" s="208"/>
      <c r="KCH303" s="208"/>
      <c r="KCI303" s="208"/>
      <c r="KCJ303" s="208"/>
      <c r="KCK303" s="208"/>
      <c r="KCL303" s="208"/>
      <c r="KCM303" s="208"/>
      <c r="KCN303" s="208"/>
      <c r="KCO303" s="208"/>
      <c r="KCP303" s="208"/>
      <c r="KCQ303" s="208"/>
      <c r="KCR303" s="208"/>
      <c r="KCS303" s="208"/>
      <c r="KCT303" s="208"/>
      <c r="KCU303" s="208"/>
      <c r="KCV303" s="208"/>
      <c r="KCW303" s="208"/>
      <c r="KCX303" s="208"/>
      <c r="KCY303" s="208"/>
      <c r="KCZ303" s="208"/>
      <c r="KDA303" s="208"/>
      <c r="KDB303" s="208"/>
      <c r="KDC303" s="208"/>
      <c r="KDD303" s="208"/>
      <c r="KDE303" s="208"/>
      <c r="KDF303" s="208"/>
      <c r="KDG303" s="208"/>
      <c r="KDH303" s="208"/>
      <c r="KDI303" s="208"/>
      <c r="KDJ303" s="208"/>
      <c r="KDK303" s="208"/>
      <c r="KDL303" s="208"/>
      <c r="KDM303" s="208"/>
      <c r="KDN303" s="208"/>
      <c r="KDO303" s="208"/>
      <c r="KDP303" s="208"/>
      <c r="KDQ303" s="208"/>
      <c r="KDR303" s="208"/>
      <c r="KDS303" s="208"/>
      <c r="KDT303" s="208"/>
      <c r="KDU303" s="208"/>
      <c r="KDV303" s="208"/>
      <c r="KDW303" s="208"/>
      <c r="KDX303" s="208"/>
      <c r="KDY303" s="208"/>
      <c r="KDZ303" s="208"/>
      <c r="KEA303" s="208"/>
      <c r="KEB303" s="208"/>
      <c r="KEC303" s="208"/>
      <c r="KED303" s="208"/>
      <c r="KEE303" s="208"/>
      <c r="KEF303" s="208"/>
      <c r="KEG303" s="208"/>
      <c r="KEH303" s="208"/>
      <c r="KEI303" s="208"/>
      <c r="KEJ303" s="208"/>
      <c r="KEK303" s="208"/>
      <c r="KEL303" s="208"/>
      <c r="KEM303" s="208"/>
      <c r="KEN303" s="208"/>
      <c r="KEO303" s="208"/>
      <c r="KEP303" s="208"/>
      <c r="KEQ303" s="208"/>
      <c r="KER303" s="208"/>
      <c r="KES303" s="208"/>
      <c r="KET303" s="208"/>
      <c r="KEU303" s="208"/>
      <c r="KEV303" s="208"/>
      <c r="KEW303" s="208"/>
      <c r="KEX303" s="208"/>
      <c r="KEY303" s="208"/>
      <c r="KEZ303" s="208"/>
      <c r="KFA303" s="208"/>
      <c r="KFB303" s="208"/>
      <c r="KFC303" s="208"/>
      <c r="KFD303" s="208"/>
      <c r="KFE303" s="208"/>
      <c r="KFF303" s="208"/>
      <c r="KFG303" s="208"/>
      <c r="KFH303" s="208"/>
      <c r="KFI303" s="208"/>
      <c r="KFJ303" s="208"/>
      <c r="KFK303" s="208"/>
      <c r="KFL303" s="208"/>
      <c r="KFM303" s="208"/>
      <c r="KFN303" s="208"/>
      <c r="KFO303" s="208"/>
      <c r="KFP303" s="208"/>
      <c r="KFQ303" s="208"/>
      <c r="KFR303" s="208"/>
      <c r="KFS303" s="208"/>
      <c r="KFT303" s="208"/>
      <c r="KFU303" s="208"/>
      <c r="KFV303" s="208"/>
      <c r="KFW303" s="208"/>
      <c r="KFX303" s="208"/>
      <c r="KFY303" s="208"/>
      <c r="KFZ303" s="208"/>
      <c r="KGA303" s="208"/>
      <c r="KGB303" s="208"/>
      <c r="KGC303" s="208"/>
      <c r="KGD303" s="208"/>
      <c r="KGE303" s="208"/>
      <c r="KGF303" s="208"/>
      <c r="KGG303" s="208"/>
      <c r="KGH303" s="208"/>
      <c r="KGI303" s="208"/>
      <c r="KGJ303" s="208"/>
      <c r="KGK303" s="208"/>
      <c r="KGL303" s="208"/>
      <c r="KGM303" s="208"/>
      <c r="KGN303" s="208"/>
      <c r="KGO303" s="208"/>
      <c r="KGP303" s="208"/>
      <c r="KGQ303" s="208"/>
      <c r="KGR303" s="208"/>
      <c r="KGS303" s="208"/>
      <c r="KGT303" s="208"/>
      <c r="KGU303" s="208"/>
      <c r="KGV303" s="208"/>
      <c r="KGW303" s="208"/>
      <c r="KGX303" s="208"/>
      <c r="KGY303" s="208"/>
      <c r="KGZ303" s="208"/>
      <c r="KHA303" s="208"/>
      <c r="KHB303" s="208"/>
      <c r="KHC303" s="208"/>
      <c r="KHD303" s="208"/>
      <c r="KHE303" s="208"/>
      <c r="KHF303" s="208"/>
      <c r="KHG303" s="208"/>
      <c r="KHH303" s="208"/>
      <c r="KHI303" s="208"/>
      <c r="KHJ303" s="208"/>
      <c r="KHK303" s="208"/>
      <c r="KHL303" s="208"/>
      <c r="KHM303" s="208"/>
      <c r="KHN303" s="208"/>
      <c r="KHO303" s="208"/>
      <c r="KHP303" s="208"/>
      <c r="KHQ303" s="208"/>
      <c r="KHR303" s="208"/>
      <c r="KHS303" s="208"/>
      <c r="KHT303" s="208"/>
      <c r="KHU303" s="208"/>
      <c r="KHV303" s="208"/>
      <c r="KHW303" s="208"/>
      <c r="KHX303" s="208"/>
      <c r="KHY303" s="208"/>
      <c r="KHZ303" s="208"/>
      <c r="KIA303" s="208"/>
      <c r="KIB303" s="208"/>
      <c r="KIC303" s="208"/>
      <c r="KID303" s="208"/>
      <c r="KIE303" s="208"/>
      <c r="KIF303" s="208"/>
      <c r="KIG303" s="208"/>
      <c r="KIH303" s="208"/>
      <c r="KII303" s="208"/>
      <c r="KIJ303" s="208"/>
      <c r="KIK303" s="208"/>
      <c r="KIL303" s="208"/>
      <c r="KIM303" s="208"/>
      <c r="KIN303" s="208"/>
      <c r="KIO303" s="208"/>
      <c r="KIP303" s="208"/>
      <c r="KIQ303" s="208"/>
      <c r="KIR303" s="208"/>
      <c r="KIS303" s="208"/>
      <c r="KIT303" s="208"/>
      <c r="KIU303" s="208"/>
      <c r="KIV303" s="208"/>
      <c r="KIW303" s="208"/>
      <c r="KIX303" s="208"/>
      <c r="KIY303" s="208"/>
      <c r="KIZ303" s="208"/>
      <c r="KJA303" s="208"/>
      <c r="KJB303" s="208"/>
      <c r="KJC303" s="208"/>
      <c r="KJD303" s="208"/>
      <c r="KJE303" s="208"/>
      <c r="KJF303" s="208"/>
      <c r="KJG303" s="208"/>
      <c r="KJH303" s="208"/>
      <c r="KJI303" s="208"/>
      <c r="KJJ303" s="208"/>
      <c r="KJK303" s="208"/>
      <c r="KJL303" s="208"/>
      <c r="KJM303" s="208"/>
      <c r="KJN303" s="208"/>
      <c r="KJO303" s="208"/>
      <c r="KJP303" s="208"/>
      <c r="KJQ303" s="208"/>
      <c r="KJR303" s="208"/>
      <c r="KJS303" s="208"/>
      <c r="KJT303" s="208"/>
      <c r="KJU303" s="208"/>
      <c r="KJV303" s="208"/>
      <c r="KJW303" s="208"/>
      <c r="KJX303" s="208"/>
      <c r="KJY303" s="208"/>
      <c r="KJZ303" s="208"/>
      <c r="KKA303" s="208"/>
      <c r="KKB303" s="208"/>
      <c r="KKC303" s="208"/>
      <c r="KKD303" s="208"/>
      <c r="KKE303" s="208"/>
      <c r="KKF303" s="208"/>
      <c r="KKG303" s="208"/>
      <c r="KKH303" s="208"/>
      <c r="KKI303" s="208"/>
      <c r="KKJ303" s="208"/>
      <c r="KKK303" s="208"/>
      <c r="KKL303" s="208"/>
      <c r="KKM303" s="208"/>
      <c r="KKN303" s="208"/>
      <c r="KKO303" s="208"/>
      <c r="KKP303" s="208"/>
      <c r="KKQ303" s="208"/>
      <c r="KKR303" s="208"/>
      <c r="KKS303" s="208"/>
      <c r="KKT303" s="208"/>
      <c r="KKU303" s="208"/>
      <c r="KKV303" s="208"/>
      <c r="KKW303" s="208"/>
      <c r="KKX303" s="208"/>
      <c r="KKY303" s="208"/>
      <c r="KKZ303" s="208"/>
      <c r="KLA303" s="208"/>
      <c r="KLB303" s="208"/>
      <c r="KLC303" s="208"/>
      <c r="KLD303" s="208"/>
      <c r="KLE303" s="208"/>
      <c r="KLF303" s="208"/>
      <c r="KLG303" s="208"/>
      <c r="KLH303" s="208"/>
      <c r="KLI303" s="208"/>
      <c r="KLJ303" s="208"/>
      <c r="KLK303" s="208"/>
      <c r="KLL303" s="208"/>
      <c r="KLM303" s="208"/>
      <c r="KLN303" s="208"/>
      <c r="KLO303" s="208"/>
      <c r="KLP303" s="208"/>
      <c r="KLQ303" s="208"/>
      <c r="KLR303" s="208"/>
      <c r="KLS303" s="208"/>
      <c r="KLT303" s="208"/>
      <c r="KLU303" s="208"/>
      <c r="KLV303" s="208"/>
      <c r="KLW303" s="208"/>
      <c r="KLX303" s="208"/>
      <c r="KLY303" s="208"/>
      <c r="KLZ303" s="208"/>
      <c r="KMA303" s="208"/>
      <c r="KMB303" s="208"/>
      <c r="KMC303" s="208"/>
      <c r="KMD303" s="208"/>
      <c r="KME303" s="208"/>
      <c r="KMF303" s="208"/>
      <c r="KMG303" s="208"/>
      <c r="KMH303" s="208"/>
      <c r="KMI303" s="208"/>
      <c r="KMJ303" s="208"/>
      <c r="KMK303" s="208"/>
      <c r="KML303" s="208"/>
      <c r="KMM303" s="208"/>
      <c r="KMN303" s="208"/>
      <c r="KMO303" s="208"/>
      <c r="KMP303" s="208"/>
      <c r="KMQ303" s="208"/>
      <c r="KMR303" s="208"/>
      <c r="KMS303" s="208"/>
      <c r="KMT303" s="208"/>
      <c r="KMU303" s="208"/>
      <c r="KMV303" s="208"/>
      <c r="KMW303" s="208"/>
      <c r="KMX303" s="208"/>
      <c r="KMY303" s="208"/>
      <c r="KMZ303" s="208"/>
      <c r="KNA303" s="208"/>
      <c r="KNB303" s="208"/>
      <c r="KNC303" s="208"/>
      <c r="KND303" s="208"/>
      <c r="KNE303" s="208"/>
      <c r="KNF303" s="208"/>
      <c r="KNG303" s="208"/>
      <c r="KNH303" s="208"/>
      <c r="KNI303" s="208"/>
      <c r="KNJ303" s="208"/>
      <c r="KNK303" s="208"/>
      <c r="KNL303" s="208"/>
      <c r="KNM303" s="208"/>
      <c r="KNN303" s="208"/>
      <c r="KNO303" s="208"/>
      <c r="KNP303" s="208"/>
      <c r="KNQ303" s="208"/>
      <c r="KNR303" s="208"/>
      <c r="KNS303" s="208"/>
      <c r="KNT303" s="208"/>
      <c r="KNU303" s="208"/>
      <c r="KNV303" s="208"/>
      <c r="KNW303" s="208"/>
      <c r="KNX303" s="208"/>
      <c r="KNY303" s="208"/>
      <c r="KNZ303" s="208"/>
      <c r="KOA303" s="208"/>
      <c r="KOB303" s="208"/>
      <c r="KOC303" s="208"/>
      <c r="KOD303" s="208"/>
      <c r="KOE303" s="208"/>
      <c r="KOF303" s="208"/>
      <c r="KOG303" s="208"/>
      <c r="KOH303" s="208"/>
      <c r="KOI303" s="208"/>
      <c r="KOJ303" s="208"/>
      <c r="KOK303" s="208"/>
      <c r="KOL303" s="208"/>
      <c r="KOM303" s="208"/>
      <c r="KON303" s="208"/>
      <c r="KOO303" s="208"/>
      <c r="KOP303" s="208"/>
      <c r="KOQ303" s="208"/>
      <c r="KOR303" s="208"/>
      <c r="KOS303" s="208"/>
      <c r="KOT303" s="208"/>
      <c r="KOU303" s="208"/>
      <c r="KOV303" s="208"/>
      <c r="KOW303" s="208"/>
      <c r="KOX303" s="208"/>
      <c r="KOY303" s="208"/>
      <c r="KOZ303" s="208"/>
      <c r="KPA303" s="208"/>
      <c r="KPB303" s="208"/>
      <c r="KPC303" s="208"/>
      <c r="KPD303" s="208"/>
      <c r="KPE303" s="208"/>
      <c r="KPF303" s="208"/>
      <c r="KPG303" s="208"/>
      <c r="KPH303" s="208"/>
      <c r="KPI303" s="208"/>
      <c r="KPJ303" s="208"/>
      <c r="KPK303" s="208"/>
      <c r="KPL303" s="208"/>
      <c r="KPM303" s="208"/>
      <c r="KPN303" s="208"/>
      <c r="KPO303" s="208"/>
      <c r="KPP303" s="208"/>
      <c r="KPQ303" s="208"/>
      <c r="KPR303" s="208"/>
      <c r="KPS303" s="208"/>
      <c r="KPT303" s="208"/>
      <c r="KPU303" s="208"/>
      <c r="KPV303" s="208"/>
      <c r="KPW303" s="208"/>
      <c r="KPX303" s="208"/>
      <c r="KPY303" s="208"/>
      <c r="KPZ303" s="208"/>
      <c r="KQA303" s="208"/>
      <c r="KQB303" s="208"/>
      <c r="KQC303" s="208"/>
      <c r="KQD303" s="208"/>
      <c r="KQE303" s="208"/>
      <c r="KQF303" s="208"/>
      <c r="KQG303" s="208"/>
      <c r="KQH303" s="208"/>
      <c r="KQI303" s="208"/>
      <c r="KQJ303" s="208"/>
      <c r="KQK303" s="208"/>
      <c r="KQL303" s="208"/>
      <c r="KQM303" s="208"/>
      <c r="KQN303" s="208"/>
      <c r="KQO303" s="208"/>
      <c r="KQP303" s="208"/>
      <c r="KQQ303" s="208"/>
      <c r="KQR303" s="208"/>
      <c r="KQS303" s="208"/>
      <c r="KQT303" s="208"/>
      <c r="KQU303" s="208"/>
      <c r="KQV303" s="208"/>
      <c r="KQW303" s="208"/>
      <c r="KQX303" s="208"/>
      <c r="KQY303" s="208"/>
      <c r="KQZ303" s="208"/>
      <c r="KRA303" s="208"/>
      <c r="KRB303" s="208"/>
      <c r="KRC303" s="208"/>
      <c r="KRD303" s="208"/>
      <c r="KRE303" s="208"/>
      <c r="KRF303" s="208"/>
      <c r="KRG303" s="208"/>
      <c r="KRH303" s="208"/>
      <c r="KRI303" s="208"/>
      <c r="KRJ303" s="208"/>
      <c r="KRK303" s="208"/>
      <c r="KRL303" s="208"/>
      <c r="KRM303" s="208"/>
      <c r="KRN303" s="208"/>
      <c r="KRO303" s="208"/>
      <c r="KRP303" s="208"/>
      <c r="KRQ303" s="208"/>
      <c r="KRR303" s="208"/>
      <c r="KRS303" s="208"/>
      <c r="KRT303" s="208"/>
      <c r="KRU303" s="208"/>
      <c r="KRV303" s="208"/>
      <c r="KRW303" s="208"/>
      <c r="KRX303" s="208"/>
      <c r="KRY303" s="208"/>
      <c r="KRZ303" s="208"/>
      <c r="KSA303" s="208"/>
      <c r="KSB303" s="208"/>
      <c r="KSC303" s="208"/>
      <c r="KSD303" s="208"/>
      <c r="KSE303" s="208"/>
      <c r="KSF303" s="208"/>
      <c r="KSG303" s="208"/>
      <c r="KSH303" s="208"/>
      <c r="KSI303" s="208"/>
      <c r="KSJ303" s="208"/>
      <c r="KSK303" s="208"/>
      <c r="KSL303" s="208"/>
      <c r="KSM303" s="208"/>
      <c r="KSN303" s="208"/>
      <c r="KSO303" s="208"/>
      <c r="KSP303" s="208"/>
      <c r="KSQ303" s="208"/>
      <c r="KSR303" s="208"/>
      <c r="KSS303" s="208"/>
      <c r="KST303" s="208"/>
      <c r="KSU303" s="208"/>
      <c r="KSV303" s="208"/>
      <c r="KSW303" s="208"/>
      <c r="KSX303" s="208"/>
      <c r="KSY303" s="208"/>
      <c r="KSZ303" s="208"/>
      <c r="KTA303" s="208"/>
      <c r="KTB303" s="208"/>
      <c r="KTC303" s="208"/>
      <c r="KTD303" s="208"/>
      <c r="KTE303" s="208"/>
      <c r="KTF303" s="208"/>
      <c r="KTG303" s="208"/>
      <c r="KTH303" s="208"/>
      <c r="KTI303" s="208"/>
      <c r="KTJ303" s="208"/>
      <c r="KTK303" s="208"/>
      <c r="KTL303" s="208"/>
      <c r="KTM303" s="208"/>
      <c r="KTN303" s="208"/>
      <c r="KTO303" s="208"/>
      <c r="KTP303" s="208"/>
      <c r="KTQ303" s="208"/>
      <c r="KTR303" s="208"/>
      <c r="KTS303" s="208"/>
      <c r="KTT303" s="208"/>
      <c r="KTU303" s="208"/>
      <c r="KTV303" s="208"/>
      <c r="KTW303" s="208"/>
      <c r="KTX303" s="208"/>
      <c r="KTY303" s="208"/>
      <c r="KTZ303" s="208"/>
      <c r="KUA303" s="208"/>
      <c r="KUB303" s="208"/>
      <c r="KUC303" s="208"/>
      <c r="KUD303" s="208"/>
      <c r="KUE303" s="208"/>
      <c r="KUF303" s="208"/>
      <c r="KUG303" s="208"/>
      <c r="KUH303" s="208"/>
      <c r="KUI303" s="208"/>
      <c r="KUJ303" s="208"/>
      <c r="KUK303" s="208"/>
      <c r="KUL303" s="208"/>
      <c r="KUM303" s="208"/>
      <c r="KUN303" s="208"/>
      <c r="KUO303" s="208"/>
      <c r="KUP303" s="208"/>
      <c r="KUQ303" s="208"/>
      <c r="KUR303" s="208"/>
      <c r="KUS303" s="208"/>
      <c r="KUT303" s="208"/>
      <c r="KUU303" s="208"/>
      <c r="KUV303" s="208"/>
      <c r="KUW303" s="208"/>
      <c r="KUX303" s="208"/>
      <c r="KUY303" s="208"/>
      <c r="KUZ303" s="208"/>
      <c r="KVA303" s="208"/>
      <c r="KVB303" s="208"/>
      <c r="KVC303" s="208"/>
      <c r="KVD303" s="208"/>
      <c r="KVE303" s="208"/>
      <c r="KVF303" s="208"/>
      <c r="KVG303" s="208"/>
      <c r="KVH303" s="208"/>
      <c r="KVI303" s="208"/>
      <c r="KVJ303" s="208"/>
      <c r="KVK303" s="208"/>
      <c r="KVL303" s="208"/>
      <c r="KVM303" s="208"/>
      <c r="KVN303" s="208"/>
      <c r="KVO303" s="208"/>
      <c r="KVP303" s="208"/>
      <c r="KVQ303" s="208"/>
      <c r="KVR303" s="208"/>
      <c r="KVS303" s="208"/>
      <c r="KVT303" s="208"/>
      <c r="KVU303" s="208"/>
      <c r="KVV303" s="208"/>
      <c r="KVW303" s="208"/>
      <c r="KVX303" s="208"/>
      <c r="KVY303" s="208"/>
      <c r="KVZ303" s="208"/>
      <c r="KWA303" s="208"/>
      <c r="KWB303" s="208"/>
      <c r="KWC303" s="208"/>
      <c r="KWD303" s="208"/>
      <c r="KWE303" s="208"/>
      <c r="KWF303" s="208"/>
      <c r="KWG303" s="208"/>
      <c r="KWH303" s="208"/>
      <c r="KWI303" s="208"/>
      <c r="KWJ303" s="208"/>
      <c r="KWK303" s="208"/>
      <c r="KWL303" s="208"/>
      <c r="KWM303" s="208"/>
      <c r="KWN303" s="208"/>
      <c r="KWO303" s="208"/>
      <c r="KWP303" s="208"/>
      <c r="KWQ303" s="208"/>
      <c r="KWR303" s="208"/>
      <c r="KWS303" s="208"/>
      <c r="KWT303" s="208"/>
      <c r="KWU303" s="208"/>
      <c r="KWV303" s="208"/>
      <c r="KWW303" s="208"/>
      <c r="KWX303" s="208"/>
      <c r="KWY303" s="208"/>
      <c r="KWZ303" s="208"/>
      <c r="KXA303" s="208"/>
      <c r="KXB303" s="208"/>
      <c r="KXC303" s="208"/>
      <c r="KXD303" s="208"/>
      <c r="KXE303" s="208"/>
      <c r="KXF303" s="208"/>
      <c r="KXG303" s="208"/>
      <c r="KXH303" s="208"/>
      <c r="KXI303" s="208"/>
      <c r="KXJ303" s="208"/>
      <c r="KXK303" s="208"/>
      <c r="KXL303" s="208"/>
      <c r="KXM303" s="208"/>
      <c r="KXN303" s="208"/>
      <c r="KXO303" s="208"/>
      <c r="KXP303" s="208"/>
      <c r="KXQ303" s="208"/>
      <c r="KXR303" s="208"/>
      <c r="KXS303" s="208"/>
      <c r="KXT303" s="208"/>
      <c r="KXU303" s="208"/>
      <c r="KXV303" s="208"/>
      <c r="KXW303" s="208"/>
      <c r="KXX303" s="208"/>
      <c r="KXY303" s="208"/>
      <c r="KXZ303" s="208"/>
      <c r="KYA303" s="208"/>
      <c r="KYB303" s="208"/>
      <c r="KYC303" s="208"/>
      <c r="KYD303" s="208"/>
      <c r="KYE303" s="208"/>
      <c r="KYF303" s="208"/>
      <c r="KYG303" s="208"/>
      <c r="KYH303" s="208"/>
      <c r="KYI303" s="208"/>
      <c r="KYJ303" s="208"/>
      <c r="KYK303" s="208"/>
      <c r="KYL303" s="208"/>
      <c r="KYM303" s="208"/>
      <c r="KYN303" s="208"/>
      <c r="KYO303" s="208"/>
      <c r="KYP303" s="208"/>
      <c r="KYQ303" s="208"/>
      <c r="KYR303" s="208"/>
      <c r="KYS303" s="208"/>
      <c r="KYT303" s="208"/>
      <c r="KYU303" s="208"/>
      <c r="KYV303" s="208"/>
      <c r="KYW303" s="208"/>
      <c r="KYX303" s="208"/>
      <c r="KYY303" s="208"/>
      <c r="KYZ303" s="208"/>
      <c r="KZA303" s="208"/>
      <c r="KZB303" s="208"/>
      <c r="KZC303" s="208"/>
      <c r="KZD303" s="208"/>
      <c r="KZE303" s="208"/>
      <c r="KZF303" s="208"/>
      <c r="KZG303" s="208"/>
      <c r="KZH303" s="208"/>
      <c r="KZI303" s="208"/>
      <c r="KZJ303" s="208"/>
      <c r="KZK303" s="208"/>
      <c r="KZL303" s="208"/>
      <c r="KZM303" s="208"/>
      <c r="KZN303" s="208"/>
      <c r="KZO303" s="208"/>
      <c r="KZP303" s="208"/>
      <c r="KZQ303" s="208"/>
      <c r="KZR303" s="208"/>
      <c r="KZS303" s="208"/>
      <c r="KZT303" s="208"/>
      <c r="KZU303" s="208"/>
      <c r="KZV303" s="208"/>
      <c r="KZW303" s="208"/>
      <c r="KZX303" s="208"/>
      <c r="KZY303" s="208"/>
      <c r="KZZ303" s="208"/>
      <c r="LAA303" s="208"/>
      <c r="LAB303" s="208"/>
      <c r="LAC303" s="208"/>
      <c r="LAD303" s="208"/>
      <c r="LAE303" s="208"/>
      <c r="LAF303" s="208"/>
      <c r="LAG303" s="208"/>
      <c r="LAH303" s="208"/>
      <c r="LAI303" s="208"/>
      <c r="LAJ303" s="208"/>
      <c r="LAK303" s="208"/>
      <c r="LAL303" s="208"/>
      <c r="LAM303" s="208"/>
      <c r="LAN303" s="208"/>
      <c r="LAO303" s="208"/>
      <c r="LAP303" s="208"/>
      <c r="LAQ303" s="208"/>
      <c r="LAR303" s="208"/>
      <c r="LAS303" s="208"/>
      <c r="LAT303" s="208"/>
      <c r="LAU303" s="208"/>
      <c r="LAV303" s="208"/>
      <c r="LAW303" s="208"/>
      <c r="LAX303" s="208"/>
      <c r="LAY303" s="208"/>
      <c r="LAZ303" s="208"/>
      <c r="LBA303" s="208"/>
      <c r="LBB303" s="208"/>
      <c r="LBC303" s="208"/>
      <c r="LBD303" s="208"/>
      <c r="LBE303" s="208"/>
      <c r="LBF303" s="208"/>
      <c r="LBG303" s="208"/>
      <c r="LBH303" s="208"/>
      <c r="LBI303" s="208"/>
      <c r="LBJ303" s="208"/>
      <c r="LBK303" s="208"/>
      <c r="LBL303" s="208"/>
      <c r="LBM303" s="208"/>
      <c r="LBN303" s="208"/>
      <c r="LBO303" s="208"/>
      <c r="LBP303" s="208"/>
      <c r="LBQ303" s="208"/>
      <c r="LBR303" s="208"/>
      <c r="LBS303" s="208"/>
      <c r="LBT303" s="208"/>
      <c r="LBU303" s="208"/>
      <c r="LBV303" s="208"/>
      <c r="LBW303" s="208"/>
      <c r="LBX303" s="208"/>
      <c r="LBY303" s="208"/>
      <c r="LBZ303" s="208"/>
      <c r="LCA303" s="208"/>
      <c r="LCB303" s="208"/>
      <c r="LCC303" s="208"/>
      <c r="LCD303" s="208"/>
      <c r="LCE303" s="208"/>
      <c r="LCF303" s="208"/>
      <c r="LCG303" s="208"/>
      <c r="LCH303" s="208"/>
      <c r="LCI303" s="208"/>
      <c r="LCJ303" s="208"/>
      <c r="LCK303" s="208"/>
      <c r="LCL303" s="208"/>
      <c r="LCM303" s="208"/>
      <c r="LCN303" s="208"/>
      <c r="LCO303" s="208"/>
      <c r="LCP303" s="208"/>
      <c r="LCQ303" s="208"/>
      <c r="LCR303" s="208"/>
      <c r="LCS303" s="208"/>
      <c r="LCT303" s="208"/>
      <c r="LCU303" s="208"/>
      <c r="LCV303" s="208"/>
      <c r="LCW303" s="208"/>
      <c r="LCX303" s="208"/>
      <c r="LCY303" s="208"/>
      <c r="LCZ303" s="208"/>
      <c r="LDA303" s="208"/>
      <c r="LDB303" s="208"/>
      <c r="LDC303" s="208"/>
      <c r="LDD303" s="208"/>
      <c r="LDE303" s="208"/>
      <c r="LDF303" s="208"/>
      <c r="LDG303" s="208"/>
      <c r="LDH303" s="208"/>
      <c r="LDI303" s="208"/>
      <c r="LDJ303" s="208"/>
      <c r="LDK303" s="208"/>
      <c r="LDL303" s="208"/>
      <c r="LDM303" s="208"/>
      <c r="LDN303" s="208"/>
      <c r="LDO303" s="208"/>
      <c r="LDP303" s="208"/>
      <c r="LDQ303" s="208"/>
      <c r="LDR303" s="208"/>
      <c r="LDS303" s="208"/>
      <c r="LDT303" s="208"/>
      <c r="LDU303" s="208"/>
      <c r="LDV303" s="208"/>
      <c r="LDW303" s="208"/>
      <c r="LDX303" s="208"/>
      <c r="LDY303" s="208"/>
      <c r="LDZ303" s="208"/>
      <c r="LEA303" s="208"/>
      <c r="LEB303" s="208"/>
      <c r="LEC303" s="208"/>
      <c r="LED303" s="208"/>
      <c r="LEE303" s="208"/>
      <c r="LEF303" s="208"/>
      <c r="LEG303" s="208"/>
      <c r="LEH303" s="208"/>
      <c r="LEI303" s="208"/>
      <c r="LEJ303" s="208"/>
      <c r="LEK303" s="208"/>
      <c r="LEL303" s="208"/>
      <c r="LEM303" s="208"/>
      <c r="LEN303" s="208"/>
      <c r="LEO303" s="208"/>
      <c r="LEP303" s="208"/>
      <c r="LEQ303" s="208"/>
      <c r="LER303" s="208"/>
      <c r="LES303" s="208"/>
      <c r="LET303" s="208"/>
      <c r="LEU303" s="208"/>
      <c r="LEV303" s="208"/>
      <c r="LEW303" s="208"/>
      <c r="LEX303" s="208"/>
      <c r="LEY303" s="208"/>
      <c r="LEZ303" s="208"/>
      <c r="LFA303" s="208"/>
      <c r="LFB303" s="208"/>
      <c r="LFC303" s="208"/>
      <c r="LFD303" s="208"/>
      <c r="LFE303" s="208"/>
      <c r="LFF303" s="208"/>
      <c r="LFG303" s="208"/>
      <c r="LFH303" s="208"/>
      <c r="LFI303" s="208"/>
      <c r="LFJ303" s="208"/>
      <c r="LFK303" s="208"/>
      <c r="LFL303" s="208"/>
      <c r="LFM303" s="208"/>
      <c r="LFN303" s="208"/>
      <c r="LFO303" s="208"/>
      <c r="LFP303" s="208"/>
      <c r="LFQ303" s="208"/>
      <c r="LFR303" s="208"/>
      <c r="LFS303" s="208"/>
      <c r="LFT303" s="208"/>
      <c r="LFU303" s="208"/>
      <c r="LFV303" s="208"/>
      <c r="LFW303" s="208"/>
      <c r="LFX303" s="208"/>
      <c r="LFY303" s="208"/>
      <c r="LFZ303" s="208"/>
      <c r="LGA303" s="208"/>
      <c r="LGB303" s="208"/>
      <c r="LGC303" s="208"/>
      <c r="LGD303" s="208"/>
      <c r="LGE303" s="208"/>
      <c r="LGF303" s="208"/>
      <c r="LGG303" s="208"/>
      <c r="LGH303" s="208"/>
      <c r="LGI303" s="208"/>
      <c r="LGJ303" s="208"/>
      <c r="LGK303" s="208"/>
      <c r="LGL303" s="208"/>
      <c r="LGM303" s="208"/>
      <c r="LGN303" s="208"/>
      <c r="LGO303" s="208"/>
      <c r="LGP303" s="208"/>
      <c r="LGQ303" s="208"/>
      <c r="LGR303" s="208"/>
      <c r="LGS303" s="208"/>
      <c r="LGT303" s="208"/>
      <c r="LGU303" s="208"/>
      <c r="LGV303" s="208"/>
      <c r="LGW303" s="208"/>
      <c r="LGX303" s="208"/>
      <c r="LGY303" s="208"/>
      <c r="LGZ303" s="208"/>
      <c r="LHA303" s="208"/>
      <c r="LHB303" s="208"/>
      <c r="LHC303" s="208"/>
      <c r="LHD303" s="208"/>
      <c r="LHE303" s="208"/>
      <c r="LHF303" s="208"/>
      <c r="LHG303" s="208"/>
      <c r="LHH303" s="208"/>
      <c r="LHI303" s="208"/>
      <c r="LHJ303" s="208"/>
      <c r="LHK303" s="208"/>
      <c r="LHL303" s="208"/>
      <c r="LHM303" s="208"/>
      <c r="LHN303" s="208"/>
      <c r="LHO303" s="208"/>
      <c r="LHP303" s="208"/>
      <c r="LHQ303" s="208"/>
      <c r="LHR303" s="208"/>
      <c r="LHS303" s="208"/>
      <c r="LHT303" s="208"/>
      <c r="LHU303" s="208"/>
      <c r="LHV303" s="208"/>
      <c r="LHW303" s="208"/>
      <c r="LHX303" s="208"/>
      <c r="LHY303" s="208"/>
      <c r="LHZ303" s="208"/>
      <c r="LIA303" s="208"/>
      <c r="LIB303" s="208"/>
      <c r="LIC303" s="208"/>
      <c r="LID303" s="208"/>
      <c r="LIE303" s="208"/>
      <c r="LIF303" s="208"/>
      <c r="LIG303" s="208"/>
      <c r="LIH303" s="208"/>
      <c r="LII303" s="208"/>
      <c r="LIJ303" s="208"/>
      <c r="LIK303" s="208"/>
      <c r="LIL303" s="208"/>
      <c r="LIM303" s="208"/>
      <c r="LIN303" s="208"/>
      <c r="LIO303" s="208"/>
      <c r="LIP303" s="208"/>
      <c r="LIQ303" s="208"/>
      <c r="LIR303" s="208"/>
      <c r="LIS303" s="208"/>
      <c r="LIT303" s="208"/>
      <c r="LIU303" s="208"/>
      <c r="LIV303" s="208"/>
      <c r="LIW303" s="208"/>
      <c r="LIX303" s="208"/>
      <c r="LIY303" s="208"/>
      <c r="LIZ303" s="208"/>
      <c r="LJA303" s="208"/>
      <c r="LJB303" s="208"/>
      <c r="LJC303" s="208"/>
      <c r="LJD303" s="208"/>
      <c r="LJE303" s="208"/>
      <c r="LJF303" s="208"/>
      <c r="LJG303" s="208"/>
      <c r="LJH303" s="208"/>
      <c r="LJI303" s="208"/>
      <c r="LJJ303" s="208"/>
      <c r="LJK303" s="208"/>
      <c r="LJL303" s="208"/>
      <c r="LJM303" s="208"/>
      <c r="LJN303" s="208"/>
      <c r="LJO303" s="208"/>
      <c r="LJP303" s="208"/>
      <c r="LJQ303" s="208"/>
      <c r="LJR303" s="208"/>
      <c r="LJS303" s="208"/>
      <c r="LJT303" s="208"/>
      <c r="LJU303" s="208"/>
      <c r="LJV303" s="208"/>
      <c r="LJW303" s="208"/>
      <c r="LJX303" s="208"/>
      <c r="LJY303" s="208"/>
      <c r="LJZ303" s="208"/>
      <c r="LKA303" s="208"/>
      <c r="LKB303" s="208"/>
      <c r="LKC303" s="208"/>
      <c r="LKD303" s="208"/>
      <c r="LKE303" s="208"/>
      <c r="LKF303" s="208"/>
      <c r="LKG303" s="208"/>
      <c r="LKH303" s="208"/>
      <c r="LKI303" s="208"/>
      <c r="LKJ303" s="208"/>
      <c r="LKK303" s="208"/>
      <c r="LKL303" s="208"/>
      <c r="LKM303" s="208"/>
      <c r="LKN303" s="208"/>
      <c r="LKO303" s="208"/>
      <c r="LKP303" s="208"/>
      <c r="LKQ303" s="208"/>
      <c r="LKR303" s="208"/>
      <c r="LKS303" s="208"/>
      <c r="LKT303" s="208"/>
      <c r="LKU303" s="208"/>
      <c r="LKV303" s="208"/>
      <c r="LKW303" s="208"/>
      <c r="LKX303" s="208"/>
      <c r="LKY303" s="208"/>
      <c r="LKZ303" s="208"/>
      <c r="LLA303" s="208"/>
      <c r="LLB303" s="208"/>
      <c r="LLC303" s="208"/>
      <c r="LLD303" s="208"/>
      <c r="LLE303" s="208"/>
      <c r="LLF303" s="208"/>
      <c r="LLG303" s="208"/>
      <c r="LLH303" s="208"/>
      <c r="LLI303" s="208"/>
      <c r="LLJ303" s="208"/>
      <c r="LLK303" s="208"/>
      <c r="LLL303" s="208"/>
      <c r="LLM303" s="208"/>
      <c r="LLN303" s="208"/>
      <c r="LLO303" s="208"/>
      <c r="LLP303" s="208"/>
      <c r="LLQ303" s="208"/>
      <c r="LLR303" s="208"/>
      <c r="LLS303" s="208"/>
      <c r="LLT303" s="208"/>
      <c r="LLU303" s="208"/>
      <c r="LLV303" s="208"/>
      <c r="LLW303" s="208"/>
      <c r="LLX303" s="208"/>
      <c r="LLY303" s="208"/>
      <c r="LLZ303" s="208"/>
      <c r="LMA303" s="208"/>
      <c r="LMB303" s="208"/>
      <c r="LMC303" s="208"/>
      <c r="LMD303" s="208"/>
      <c r="LME303" s="208"/>
      <c r="LMF303" s="208"/>
      <c r="LMG303" s="208"/>
      <c r="LMH303" s="208"/>
      <c r="LMI303" s="208"/>
      <c r="LMJ303" s="208"/>
      <c r="LMK303" s="208"/>
      <c r="LML303" s="208"/>
      <c r="LMM303" s="208"/>
      <c r="LMN303" s="208"/>
      <c r="LMO303" s="208"/>
      <c r="LMP303" s="208"/>
      <c r="LMQ303" s="208"/>
      <c r="LMR303" s="208"/>
      <c r="LMS303" s="208"/>
      <c r="LMT303" s="208"/>
      <c r="LMU303" s="208"/>
      <c r="LMV303" s="208"/>
      <c r="LMW303" s="208"/>
      <c r="LMX303" s="208"/>
      <c r="LMY303" s="208"/>
      <c r="LMZ303" s="208"/>
      <c r="LNA303" s="208"/>
      <c r="LNB303" s="208"/>
      <c r="LNC303" s="208"/>
      <c r="LND303" s="208"/>
      <c r="LNE303" s="208"/>
      <c r="LNF303" s="208"/>
      <c r="LNG303" s="208"/>
      <c r="LNH303" s="208"/>
      <c r="LNI303" s="208"/>
      <c r="LNJ303" s="208"/>
      <c r="LNK303" s="208"/>
      <c r="LNL303" s="208"/>
      <c r="LNM303" s="208"/>
      <c r="LNN303" s="208"/>
      <c r="LNO303" s="208"/>
      <c r="LNP303" s="208"/>
      <c r="LNQ303" s="208"/>
      <c r="LNR303" s="208"/>
      <c r="LNS303" s="208"/>
      <c r="LNT303" s="208"/>
      <c r="LNU303" s="208"/>
      <c r="LNV303" s="208"/>
      <c r="LNW303" s="208"/>
      <c r="LNX303" s="208"/>
      <c r="LNY303" s="208"/>
      <c r="LNZ303" s="208"/>
      <c r="LOA303" s="208"/>
      <c r="LOB303" s="208"/>
      <c r="LOC303" s="208"/>
      <c r="LOD303" s="208"/>
      <c r="LOE303" s="208"/>
      <c r="LOF303" s="208"/>
      <c r="LOG303" s="208"/>
      <c r="LOH303" s="208"/>
      <c r="LOI303" s="208"/>
      <c r="LOJ303" s="208"/>
      <c r="LOK303" s="208"/>
      <c r="LOL303" s="208"/>
      <c r="LOM303" s="208"/>
      <c r="LON303" s="208"/>
      <c r="LOO303" s="208"/>
      <c r="LOP303" s="208"/>
      <c r="LOQ303" s="208"/>
      <c r="LOR303" s="208"/>
      <c r="LOS303" s="208"/>
      <c r="LOT303" s="208"/>
      <c r="LOU303" s="208"/>
      <c r="LOV303" s="208"/>
      <c r="LOW303" s="208"/>
      <c r="LOX303" s="208"/>
      <c r="LOY303" s="208"/>
      <c r="LOZ303" s="208"/>
      <c r="LPA303" s="208"/>
      <c r="LPB303" s="208"/>
      <c r="LPC303" s="208"/>
      <c r="LPD303" s="208"/>
      <c r="LPE303" s="208"/>
      <c r="LPF303" s="208"/>
      <c r="LPG303" s="208"/>
      <c r="LPH303" s="208"/>
      <c r="LPI303" s="208"/>
      <c r="LPJ303" s="208"/>
      <c r="LPK303" s="208"/>
      <c r="LPL303" s="208"/>
      <c r="LPM303" s="208"/>
      <c r="LPN303" s="208"/>
      <c r="LPO303" s="208"/>
      <c r="LPP303" s="208"/>
      <c r="LPQ303" s="208"/>
      <c r="LPR303" s="208"/>
      <c r="LPS303" s="208"/>
      <c r="LPT303" s="208"/>
      <c r="LPU303" s="208"/>
      <c r="LPV303" s="208"/>
      <c r="LPW303" s="208"/>
      <c r="LPX303" s="208"/>
      <c r="LPY303" s="208"/>
      <c r="LPZ303" s="208"/>
      <c r="LQA303" s="208"/>
      <c r="LQB303" s="208"/>
      <c r="LQC303" s="208"/>
      <c r="LQD303" s="208"/>
      <c r="LQE303" s="208"/>
      <c r="LQF303" s="208"/>
      <c r="LQG303" s="208"/>
      <c r="LQH303" s="208"/>
      <c r="LQI303" s="208"/>
      <c r="LQJ303" s="208"/>
      <c r="LQK303" s="208"/>
      <c r="LQL303" s="208"/>
      <c r="LQM303" s="208"/>
      <c r="LQN303" s="208"/>
      <c r="LQO303" s="208"/>
      <c r="LQP303" s="208"/>
      <c r="LQQ303" s="208"/>
      <c r="LQR303" s="208"/>
      <c r="LQS303" s="208"/>
      <c r="LQT303" s="208"/>
      <c r="LQU303" s="208"/>
      <c r="LQV303" s="208"/>
      <c r="LQW303" s="208"/>
      <c r="LQX303" s="208"/>
      <c r="LQY303" s="208"/>
      <c r="LQZ303" s="208"/>
      <c r="LRA303" s="208"/>
      <c r="LRB303" s="208"/>
      <c r="LRC303" s="208"/>
      <c r="LRD303" s="208"/>
      <c r="LRE303" s="208"/>
      <c r="LRF303" s="208"/>
      <c r="LRG303" s="208"/>
      <c r="LRH303" s="208"/>
      <c r="LRI303" s="208"/>
      <c r="LRJ303" s="208"/>
      <c r="LRK303" s="208"/>
      <c r="LRL303" s="208"/>
      <c r="LRM303" s="208"/>
      <c r="LRN303" s="208"/>
      <c r="LRO303" s="208"/>
      <c r="LRP303" s="208"/>
      <c r="LRQ303" s="208"/>
      <c r="LRR303" s="208"/>
      <c r="LRS303" s="208"/>
      <c r="LRT303" s="208"/>
      <c r="LRU303" s="208"/>
      <c r="LRV303" s="208"/>
      <c r="LRW303" s="208"/>
      <c r="LRX303" s="208"/>
      <c r="LRY303" s="208"/>
      <c r="LRZ303" s="208"/>
      <c r="LSA303" s="208"/>
      <c r="LSB303" s="208"/>
      <c r="LSC303" s="208"/>
      <c r="LSD303" s="208"/>
      <c r="LSE303" s="208"/>
      <c r="LSF303" s="208"/>
      <c r="LSG303" s="208"/>
      <c r="LSH303" s="208"/>
      <c r="LSI303" s="208"/>
      <c r="LSJ303" s="208"/>
      <c r="LSK303" s="208"/>
      <c r="LSL303" s="208"/>
      <c r="LSM303" s="208"/>
      <c r="LSN303" s="208"/>
      <c r="LSO303" s="208"/>
      <c r="LSP303" s="208"/>
      <c r="LSQ303" s="208"/>
      <c r="LSR303" s="208"/>
      <c r="LSS303" s="208"/>
      <c r="LST303" s="208"/>
      <c r="LSU303" s="208"/>
      <c r="LSV303" s="208"/>
      <c r="LSW303" s="208"/>
      <c r="LSX303" s="208"/>
      <c r="LSY303" s="208"/>
      <c r="LSZ303" s="208"/>
      <c r="LTA303" s="208"/>
      <c r="LTB303" s="208"/>
      <c r="LTC303" s="208"/>
      <c r="LTD303" s="208"/>
      <c r="LTE303" s="208"/>
      <c r="LTF303" s="208"/>
      <c r="LTG303" s="208"/>
      <c r="LTH303" s="208"/>
      <c r="LTI303" s="208"/>
      <c r="LTJ303" s="208"/>
      <c r="LTK303" s="208"/>
      <c r="LTL303" s="208"/>
      <c r="LTM303" s="208"/>
      <c r="LTN303" s="208"/>
      <c r="LTO303" s="208"/>
      <c r="LTP303" s="208"/>
      <c r="LTQ303" s="208"/>
      <c r="LTR303" s="208"/>
      <c r="LTS303" s="208"/>
      <c r="LTT303" s="208"/>
      <c r="LTU303" s="208"/>
      <c r="LTV303" s="208"/>
      <c r="LTW303" s="208"/>
      <c r="LTX303" s="208"/>
      <c r="LTY303" s="208"/>
      <c r="LTZ303" s="208"/>
      <c r="LUA303" s="208"/>
      <c r="LUB303" s="208"/>
      <c r="LUC303" s="208"/>
      <c r="LUD303" s="208"/>
      <c r="LUE303" s="208"/>
      <c r="LUF303" s="208"/>
      <c r="LUG303" s="208"/>
      <c r="LUH303" s="208"/>
      <c r="LUI303" s="208"/>
      <c r="LUJ303" s="208"/>
      <c r="LUK303" s="208"/>
      <c r="LUL303" s="208"/>
      <c r="LUM303" s="208"/>
      <c r="LUN303" s="208"/>
      <c r="LUO303" s="208"/>
      <c r="LUP303" s="208"/>
      <c r="LUQ303" s="208"/>
      <c r="LUR303" s="208"/>
      <c r="LUS303" s="208"/>
      <c r="LUT303" s="208"/>
      <c r="LUU303" s="208"/>
      <c r="LUV303" s="208"/>
      <c r="LUW303" s="208"/>
      <c r="LUX303" s="208"/>
      <c r="LUY303" s="208"/>
      <c r="LUZ303" s="208"/>
      <c r="LVA303" s="208"/>
      <c r="LVB303" s="208"/>
      <c r="LVC303" s="208"/>
      <c r="LVD303" s="208"/>
      <c r="LVE303" s="208"/>
      <c r="LVF303" s="208"/>
      <c r="LVG303" s="208"/>
      <c r="LVH303" s="208"/>
      <c r="LVI303" s="208"/>
      <c r="LVJ303" s="208"/>
      <c r="LVK303" s="208"/>
      <c r="LVL303" s="208"/>
      <c r="LVM303" s="208"/>
      <c r="LVN303" s="208"/>
      <c r="LVO303" s="208"/>
      <c r="LVP303" s="208"/>
      <c r="LVQ303" s="208"/>
      <c r="LVR303" s="208"/>
      <c r="LVS303" s="208"/>
      <c r="LVT303" s="208"/>
      <c r="LVU303" s="208"/>
      <c r="LVV303" s="208"/>
      <c r="LVW303" s="208"/>
      <c r="LVX303" s="208"/>
      <c r="LVY303" s="208"/>
      <c r="LVZ303" s="208"/>
      <c r="LWA303" s="208"/>
      <c r="LWB303" s="208"/>
      <c r="LWC303" s="208"/>
      <c r="LWD303" s="208"/>
      <c r="LWE303" s="208"/>
      <c r="LWF303" s="208"/>
      <c r="LWG303" s="208"/>
      <c r="LWH303" s="208"/>
      <c r="LWI303" s="208"/>
      <c r="LWJ303" s="208"/>
      <c r="LWK303" s="208"/>
      <c r="LWL303" s="208"/>
      <c r="LWM303" s="208"/>
      <c r="LWN303" s="208"/>
      <c r="LWO303" s="208"/>
      <c r="LWP303" s="208"/>
      <c r="LWQ303" s="208"/>
      <c r="LWR303" s="208"/>
      <c r="LWS303" s="208"/>
      <c r="LWT303" s="208"/>
      <c r="LWU303" s="208"/>
      <c r="LWV303" s="208"/>
      <c r="LWW303" s="208"/>
      <c r="LWX303" s="208"/>
      <c r="LWY303" s="208"/>
      <c r="LWZ303" s="208"/>
      <c r="LXA303" s="208"/>
      <c r="LXB303" s="208"/>
      <c r="LXC303" s="208"/>
      <c r="LXD303" s="208"/>
      <c r="LXE303" s="208"/>
      <c r="LXF303" s="208"/>
      <c r="LXG303" s="208"/>
      <c r="LXH303" s="208"/>
      <c r="LXI303" s="208"/>
      <c r="LXJ303" s="208"/>
      <c r="LXK303" s="208"/>
      <c r="LXL303" s="208"/>
      <c r="LXM303" s="208"/>
      <c r="LXN303" s="208"/>
      <c r="LXO303" s="208"/>
      <c r="LXP303" s="208"/>
      <c r="LXQ303" s="208"/>
      <c r="LXR303" s="208"/>
      <c r="LXS303" s="208"/>
      <c r="LXT303" s="208"/>
      <c r="LXU303" s="208"/>
      <c r="LXV303" s="208"/>
      <c r="LXW303" s="208"/>
      <c r="LXX303" s="208"/>
      <c r="LXY303" s="208"/>
      <c r="LXZ303" s="208"/>
      <c r="LYA303" s="208"/>
      <c r="LYB303" s="208"/>
      <c r="LYC303" s="208"/>
      <c r="LYD303" s="208"/>
      <c r="LYE303" s="208"/>
      <c r="LYF303" s="208"/>
      <c r="LYG303" s="208"/>
      <c r="LYH303" s="208"/>
      <c r="LYI303" s="208"/>
      <c r="LYJ303" s="208"/>
      <c r="LYK303" s="208"/>
      <c r="LYL303" s="208"/>
      <c r="LYM303" s="208"/>
      <c r="LYN303" s="208"/>
      <c r="LYO303" s="208"/>
      <c r="LYP303" s="208"/>
      <c r="LYQ303" s="208"/>
      <c r="LYR303" s="208"/>
      <c r="LYS303" s="208"/>
      <c r="LYT303" s="208"/>
      <c r="LYU303" s="208"/>
      <c r="LYV303" s="208"/>
      <c r="LYW303" s="208"/>
      <c r="LYX303" s="208"/>
      <c r="LYY303" s="208"/>
      <c r="LYZ303" s="208"/>
      <c r="LZA303" s="208"/>
      <c r="LZB303" s="208"/>
      <c r="LZC303" s="208"/>
      <c r="LZD303" s="208"/>
      <c r="LZE303" s="208"/>
      <c r="LZF303" s="208"/>
      <c r="LZG303" s="208"/>
      <c r="LZH303" s="208"/>
      <c r="LZI303" s="208"/>
      <c r="LZJ303" s="208"/>
      <c r="LZK303" s="208"/>
      <c r="LZL303" s="208"/>
      <c r="LZM303" s="208"/>
      <c r="LZN303" s="208"/>
      <c r="LZO303" s="208"/>
      <c r="LZP303" s="208"/>
      <c r="LZQ303" s="208"/>
      <c r="LZR303" s="208"/>
      <c r="LZS303" s="208"/>
      <c r="LZT303" s="208"/>
      <c r="LZU303" s="208"/>
      <c r="LZV303" s="208"/>
      <c r="LZW303" s="208"/>
      <c r="LZX303" s="208"/>
      <c r="LZY303" s="208"/>
      <c r="LZZ303" s="208"/>
      <c r="MAA303" s="208"/>
      <c r="MAB303" s="208"/>
      <c r="MAC303" s="208"/>
      <c r="MAD303" s="208"/>
      <c r="MAE303" s="208"/>
      <c r="MAF303" s="208"/>
      <c r="MAG303" s="208"/>
      <c r="MAH303" s="208"/>
      <c r="MAI303" s="208"/>
      <c r="MAJ303" s="208"/>
      <c r="MAK303" s="208"/>
      <c r="MAL303" s="208"/>
      <c r="MAM303" s="208"/>
      <c r="MAN303" s="208"/>
      <c r="MAO303" s="208"/>
      <c r="MAP303" s="208"/>
      <c r="MAQ303" s="208"/>
      <c r="MAR303" s="208"/>
      <c r="MAS303" s="208"/>
      <c r="MAT303" s="208"/>
      <c r="MAU303" s="208"/>
      <c r="MAV303" s="208"/>
      <c r="MAW303" s="208"/>
      <c r="MAX303" s="208"/>
      <c r="MAY303" s="208"/>
      <c r="MAZ303" s="208"/>
      <c r="MBA303" s="208"/>
      <c r="MBB303" s="208"/>
      <c r="MBC303" s="208"/>
      <c r="MBD303" s="208"/>
      <c r="MBE303" s="208"/>
      <c r="MBF303" s="208"/>
      <c r="MBG303" s="208"/>
      <c r="MBH303" s="208"/>
      <c r="MBI303" s="208"/>
      <c r="MBJ303" s="208"/>
      <c r="MBK303" s="208"/>
      <c r="MBL303" s="208"/>
      <c r="MBM303" s="208"/>
      <c r="MBN303" s="208"/>
      <c r="MBO303" s="208"/>
      <c r="MBP303" s="208"/>
      <c r="MBQ303" s="208"/>
      <c r="MBR303" s="208"/>
      <c r="MBS303" s="208"/>
      <c r="MBT303" s="208"/>
      <c r="MBU303" s="208"/>
      <c r="MBV303" s="208"/>
      <c r="MBW303" s="208"/>
      <c r="MBX303" s="208"/>
      <c r="MBY303" s="208"/>
      <c r="MBZ303" s="208"/>
      <c r="MCA303" s="208"/>
      <c r="MCB303" s="208"/>
      <c r="MCC303" s="208"/>
      <c r="MCD303" s="208"/>
      <c r="MCE303" s="208"/>
      <c r="MCF303" s="208"/>
      <c r="MCG303" s="208"/>
      <c r="MCH303" s="208"/>
      <c r="MCI303" s="208"/>
      <c r="MCJ303" s="208"/>
      <c r="MCK303" s="208"/>
      <c r="MCL303" s="208"/>
      <c r="MCM303" s="208"/>
      <c r="MCN303" s="208"/>
      <c r="MCO303" s="208"/>
      <c r="MCP303" s="208"/>
      <c r="MCQ303" s="208"/>
      <c r="MCR303" s="208"/>
      <c r="MCS303" s="208"/>
      <c r="MCT303" s="208"/>
      <c r="MCU303" s="208"/>
      <c r="MCV303" s="208"/>
      <c r="MCW303" s="208"/>
      <c r="MCX303" s="208"/>
      <c r="MCY303" s="208"/>
      <c r="MCZ303" s="208"/>
      <c r="MDA303" s="208"/>
      <c r="MDB303" s="208"/>
      <c r="MDC303" s="208"/>
      <c r="MDD303" s="208"/>
      <c r="MDE303" s="208"/>
      <c r="MDF303" s="208"/>
      <c r="MDG303" s="208"/>
      <c r="MDH303" s="208"/>
      <c r="MDI303" s="208"/>
      <c r="MDJ303" s="208"/>
      <c r="MDK303" s="208"/>
      <c r="MDL303" s="208"/>
      <c r="MDM303" s="208"/>
      <c r="MDN303" s="208"/>
      <c r="MDO303" s="208"/>
      <c r="MDP303" s="208"/>
      <c r="MDQ303" s="208"/>
      <c r="MDR303" s="208"/>
      <c r="MDS303" s="208"/>
      <c r="MDT303" s="208"/>
      <c r="MDU303" s="208"/>
      <c r="MDV303" s="208"/>
      <c r="MDW303" s="208"/>
      <c r="MDX303" s="208"/>
      <c r="MDY303" s="208"/>
      <c r="MDZ303" s="208"/>
      <c r="MEA303" s="208"/>
      <c r="MEB303" s="208"/>
      <c r="MEC303" s="208"/>
      <c r="MED303" s="208"/>
      <c r="MEE303" s="208"/>
      <c r="MEF303" s="208"/>
      <c r="MEG303" s="208"/>
      <c r="MEH303" s="208"/>
      <c r="MEI303" s="208"/>
      <c r="MEJ303" s="208"/>
      <c r="MEK303" s="208"/>
      <c r="MEL303" s="208"/>
      <c r="MEM303" s="208"/>
      <c r="MEN303" s="208"/>
      <c r="MEO303" s="208"/>
      <c r="MEP303" s="208"/>
      <c r="MEQ303" s="208"/>
      <c r="MER303" s="208"/>
      <c r="MES303" s="208"/>
      <c r="MET303" s="208"/>
      <c r="MEU303" s="208"/>
      <c r="MEV303" s="208"/>
      <c r="MEW303" s="208"/>
      <c r="MEX303" s="208"/>
      <c r="MEY303" s="208"/>
      <c r="MEZ303" s="208"/>
      <c r="MFA303" s="208"/>
      <c r="MFB303" s="208"/>
      <c r="MFC303" s="208"/>
      <c r="MFD303" s="208"/>
      <c r="MFE303" s="208"/>
      <c r="MFF303" s="208"/>
      <c r="MFG303" s="208"/>
      <c r="MFH303" s="208"/>
      <c r="MFI303" s="208"/>
      <c r="MFJ303" s="208"/>
      <c r="MFK303" s="208"/>
      <c r="MFL303" s="208"/>
      <c r="MFM303" s="208"/>
      <c r="MFN303" s="208"/>
      <c r="MFO303" s="208"/>
      <c r="MFP303" s="208"/>
      <c r="MFQ303" s="208"/>
      <c r="MFR303" s="208"/>
      <c r="MFS303" s="208"/>
      <c r="MFT303" s="208"/>
      <c r="MFU303" s="208"/>
      <c r="MFV303" s="208"/>
      <c r="MFW303" s="208"/>
      <c r="MFX303" s="208"/>
      <c r="MFY303" s="208"/>
      <c r="MFZ303" s="208"/>
      <c r="MGA303" s="208"/>
      <c r="MGB303" s="208"/>
      <c r="MGC303" s="208"/>
      <c r="MGD303" s="208"/>
      <c r="MGE303" s="208"/>
      <c r="MGF303" s="208"/>
      <c r="MGG303" s="208"/>
      <c r="MGH303" s="208"/>
      <c r="MGI303" s="208"/>
      <c r="MGJ303" s="208"/>
      <c r="MGK303" s="208"/>
      <c r="MGL303" s="208"/>
      <c r="MGM303" s="208"/>
      <c r="MGN303" s="208"/>
      <c r="MGO303" s="208"/>
      <c r="MGP303" s="208"/>
      <c r="MGQ303" s="208"/>
      <c r="MGR303" s="208"/>
      <c r="MGS303" s="208"/>
      <c r="MGT303" s="208"/>
      <c r="MGU303" s="208"/>
      <c r="MGV303" s="208"/>
      <c r="MGW303" s="208"/>
      <c r="MGX303" s="208"/>
      <c r="MGY303" s="208"/>
      <c r="MGZ303" s="208"/>
      <c r="MHA303" s="208"/>
      <c r="MHB303" s="208"/>
      <c r="MHC303" s="208"/>
      <c r="MHD303" s="208"/>
      <c r="MHE303" s="208"/>
      <c r="MHF303" s="208"/>
      <c r="MHG303" s="208"/>
      <c r="MHH303" s="208"/>
      <c r="MHI303" s="208"/>
      <c r="MHJ303" s="208"/>
      <c r="MHK303" s="208"/>
      <c r="MHL303" s="208"/>
      <c r="MHM303" s="208"/>
      <c r="MHN303" s="208"/>
      <c r="MHO303" s="208"/>
      <c r="MHP303" s="208"/>
      <c r="MHQ303" s="208"/>
      <c r="MHR303" s="208"/>
      <c r="MHS303" s="208"/>
      <c r="MHT303" s="208"/>
      <c r="MHU303" s="208"/>
      <c r="MHV303" s="208"/>
      <c r="MHW303" s="208"/>
      <c r="MHX303" s="208"/>
      <c r="MHY303" s="208"/>
      <c r="MHZ303" s="208"/>
      <c r="MIA303" s="208"/>
      <c r="MIB303" s="208"/>
      <c r="MIC303" s="208"/>
      <c r="MID303" s="208"/>
      <c r="MIE303" s="208"/>
      <c r="MIF303" s="208"/>
      <c r="MIG303" s="208"/>
      <c r="MIH303" s="208"/>
      <c r="MII303" s="208"/>
      <c r="MIJ303" s="208"/>
      <c r="MIK303" s="208"/>
      <c r="MIL303" s="208"/>
      <c r="MIM303" s="208"/>
      <c r="MIN303" s="208"/>
      <c r="MIO303" s="208"/>
      <c r="MIP303" s="208"/>
      <c r="MIQ303" s="208"/>
      <c r="MIR303" s="208"/>
      <c r="MIS303" s="208"/>
      <c r="MIT303" s="208"/>
      <c r="MIU303" s="208"/>
      <c r="MIV303" s="208"/>
      <c r="MIW303" s="208"/>
      <c r="MIX303" s="208"/>
      <c r="MIY303" s="208"/>
      <c r="MIZ303" s="208"/>
      <c r="MJA303" s="208"/>
      <c r="MJB303" s="208"/>
      <c r="MJC303" s="208"/>
      <c r="MJD303" s="208"/>
      <c r="MJE303" s="208"/>
      <c r="MJF303" s="208"/>
      <c r="MJG303" s="208"/>
      <c r="MJH303" s="208"/>
      <c r="MJI303" s="208"/>
      <c r="MJJ303" s="208"/>
      <c r="MJK303" s="208"/>
      <c r="MJL303" s="208"/>
      <c r="MJM303" s="208"/>
      <c r="MJN303" s="208"/>
      <c r="MJO303" s="208"/>
      <c r="MJP303" s="208"/>
      <c r="MJQ303" s="208"/>
      <c r="MJR303" s="208"/>
      <c r="MJS303" s="208"/>
      <c r="MJT303" s="208"/>
      <c r="MJU303" s="208"/>
      <c r="MJV303" s="208"/>
      <c r="MJW303" s="208"/>
      <c r="MJX303" s="208"/>
      <c r="MJY303" s="208"/>
      <c r="MJZ303" s="208"/>
      <c r="MKA303" s="208"/>
      <c r="MKB303" s="208"/>
      <c r="MKC303" s="208"/>
      <c r="MKD303" s="208"/>
      <c r="MKE303" s="208"/>
      <c r="MKF303" s="208"/>
      <c r="MKG303" s="208"/>
      <c r="MKH303" s="208"/>
      <c r="MKI303" s="208"/>
      <c r="MKJ303" s="208"/>
      <c r="MKK303" s="208"/>
      <c r="MKL303" s="208"/>
      <c r="MKM303" s="208"/>
      <c r="MKN303" s="208"/>
      <c r="MKO303" s="208"/>
      <c r="MKP303" s="208"/>
      <c r="MKQ303" s="208"/>
      <c r="MKR303" s="208"/>
      <c r="MKS303" s="208"/>
      <c r="MKT303" s="208"/>
      <c r="MKU303" s="208"/>
      <c r="MKV303" s="208"/>
      <c r="MKW303" s="208"/>
      <c r="MKX303" s="208"/>
      <c r="MKY303" s="208"/>
      <c r="MKZ303" s="208"/>
      <c r="MLA303" s="208"/>
      <c r="MLB303" s="208"/>
      <c r="MLC303" s="208"/>
      <c r="MLD303" s="208"/>
      <c r="MLE303" s="208"/>
      <c r="MLF303" s="208"/>
      <c r="MLG303" s="208"/>
      <c r="MLH303" s="208"/>
      <c r="MLI303" s="208"/>
      <c r="MLJ303" s="208"/>
      <c r="MLK303" s="208"/>
      <c r="MLL303" s="208"/>
      <c r="MLM303" s="208"/>
      <c r="MLN303" s="208"/>
      <c r="MLO303" s="208"/>
      <c r="MLP303" s="208"/>
      <c r="MLQ303" s="208"/>
      <c r="MLR303" s="208"/>
      <c r="MLS303" s="208"/>
      <c r="MLT303" s="208"/>
      <c r="MLU303" s="208"/>
      <c r="MLV303" s="208"/>
      <c r="MLW303" s="208"/>
      <c r="MLX303" s="208"/>
      <c r="MLY303" s="208"/>
      <c r="MLZ303" s="208"/>
      <c r="MMA303" s="208"/>
      <c r="MMB303" s="208"/>
      <c r="MMC303" s="208"/>
      <c r="MMD303" s="208"/>
      <c r="MME303" s="208"/>
      <c r="MMF303" s="208"/>
      <c r="MMG303" s="208"/>
      <c r="MMH303" s="208"/>
      <c r="MMI303" s="208"/>
      <c r="MMJ303" s="208"/>
      <c r="MMK303" s="208"/>
      <c r="MML303" s="208"/>
      <c r="MMM303" s="208"/>
      <c r="MMN303" s="208"/>
      <c r="MMO303" s="208"/>
      <c r="MMP303" s="208"/>
      <c r="MMQ303" s="208"/>
      <c r="MMR303" s="208"/>
      <c r="MMS303" s="208"/>
      <c r="MMT303" s="208"/>
      <c r="MMU303" s="208"/>
      <c r="MMV303" s="208"/>
      <c r="MMW303" s="208"/>
      <c r="MMX303" s="208"/>
      <c r="MMY303" s="208"/>
      <c r="MMZ303" s="208"/>
      <c r="MNA303" s="208"/>
      <c r="MNB303" s="208"/>
      <c r="MNC303" s="208"/>
      <c r="MND303" s="208"/>
      <c r="MNE303" s="208"/>
      <c r="MNF303" s="208"/>
      <c r="MNG303" s="208"/>
      <c r="MNH303" s="208"/>
      <c r="MNI303" s="208"/>
      <c r="MNJ303" s="208"/>
      <c r="MNK303" s="208"/>
      <c r="MNL303" s="208"/>
      <c r="MNM303" s="208"/>
      <c r="MNN303" s="208"/>
      <c r="MNO303" s="208"/>
      <c r="MNP303" s="208"/>
      <c r="MNQ303" s="208"/>
      <c r="MNR303" s="208"/>
      <c r="MNS303" s="208"/>
      <c r="MNT303" s="208"/>
      <c r="MNU303" s="208"/>
      <c r="MNV303" s="208"/>
      <c r="MNW303" s="208"/>
      <c r="MNX303" s="208"/>
      <c r="MNY303" s="208"/>
      <c r="MNZ303" s="208"/>
      <c r="MOA303" s="208"/>
      <c r="MOB303" s="208"/>
      <c r="MOC303" s="208"/>
      <c r="MOD303" s="208"/>
      <c r="MOE303" s="208"/>
      <c r="MOF303" s="208"/>
      <c r="MOG303" s="208"/>
      <c r="MOH303" s="208"/>
      <c r="MOI303" s="208"/>
      <c r="MOJ303" s="208"/>
      <c r="MOK303" s="208"/>
      <c r="MOL303" s="208"/>
      <c r="MOM303" s="208"/>
      <c r="MON303" s="208"/>
      <c r="MOO303" s="208"/>
      <c r="MOP303" s="208"/>
      <c r="MOQ303" s="208"/>
      <c r="MOR303" s="208"/>
      <c r="MOS303" s="208"/>
      <c r="MOT303" s="208"/>
      <c r="MOU303" s="208"/>
      <c r="MOV303" s="208"/>
      <c r="MOW303" s="208"/>
      <c r="MOX303" s="208"/>
      <c r="MOY303" s="208"/>
      <c r="MOZ303" s="208"/>
      <c r="MPA303" s="208"/>
      <c r="MPB303" s="208"/>
      <c r="MPC303" s="208"/>
      <c r="MPD303" s="208"/>
      <c r="MPE303" s="208"/>
      <c r="MPF303" s="208"/>
      <c r="MPG303" s="208"/>
      <c r="MPH303" s="208"/>
      <c r="MPI303" s="208"/>
      <c r="MPJ303" s="208"/>
      <c r="MPK303" s="208"/>
      <c r="MPL303" s="208"/>
      <c r="MPM303" s="208"/>
      <c r="MPN303" s="208"/>
      <c r="MPO303" s="208"/>
      <c r="MPP303" s="208"/>
      <c r="MPQ303" s="208"/>
      <c r="MPR303" s="208"/>
      <c r="MPS303" s="208"/>
      <c r="MPT303" s="208"/>
      <c r="MPU303" s="208"/>
      <c r="MPV303" s="208"/>
      <c r="MPW303" s="208"/>
      <c r="MPX303" s="208"/>
      <c r="MPY303" s="208"/>
      <c r="MPZ303" s="208"/>
      <c r="MQA303" s="208"/>
      <c r="MQB303" s="208"/>
      <c r="MQC303" s="208"/>
      <c r="MQD303" s="208"/>
      <c r="MQE303" s="208"/>
      <c r="MQF303" s="208"/>
      <c r="MQG303" s="208"/>
      <c r="MQH303" s="208"/>
      <c r="MQI303" s="208"/>
      <c r="MQJ303" s="208"/>
      <c r="MQK303" s="208"/>
      <c r="MQL303" s="208"/>
      <c r="MQM303" s="208"/>
      <c r="MQN303" s="208"/>
      <c r="MQO303" s="208"/>
      <c r="MQP303" s="208"/>
      <c r="MQQ303" s="208"/>
      <c r="MQR303" s="208"/>
      <c r="MQS303" s="208"/>
      <c r="MQT303" s="208"/>
      <c r="MQU303" s="208"/>
      <c r="MQV303" s="208"/>
      <c r="MQW303" s="208"/>
      <c r="MQX303" s="208"/>
      <c r="MQY303" s="208"/>
      <c r="MQZ303" s="208"/>
      <c r="MRA303" s="208"/>
      <c r="MRB303" s="208"/>
      <c r="MRC303" s="208"/>
      <c r="MRD303" s="208"/>
      <c r="MRE303" s="208"/>
      <c r="MRF303" s="208"/>
      <c r="MRG303" s="208"/>
      <c r="MRH303" s="208"/>
      <c r="MRI303" s="208"/>
      <c r="MRJ303" s="208"/>
      <c r="MRK303" s="208"/>
      <c r="MRL303" s="208"/>
      <c r="MRM303" s="208"/>
      <c r="MRN303" s="208"/>
      <c r="MRO303" s="208"/>
      <c r="MRP303" s="208"/>
      <c r="MRQ303" s="208"/>
      <c r="MRR303" s="208"/>
      <c r="MRS303" s="208"/>
      <c r="MRT303" s="208"/>
      <c r="MRU303" s="208"/>
      <c r="MRV303" s="208"/>
      <c r="MRW303" s="208"/>
      <c r="MRX303" s="208"/>
      <c r="MRY303" s="208"/>
      <c r="MRZ303" s="208"/>
      <c r="MSA303" s="208"/>
      <c r="MSB303" s="208"/>
      <c r="MSC303" s="208"/>
      <c r="MSD303" s="208"/>
      <c r="MSE303" s="208"/>
      <c r="MSF303" s="208"/>
      <c r="MSG303" s="208"/>
      <c r="MSH303" s="208"/>
      <c r="MSI303" s="208"/>
      <c r="MSJ303" s="208"/>
      <c r="MSK303" s="208"/>
      <c r="MSL303" s="208"/>
      <c r="MSM303" s="208"/>
      <c r="MSN303" s="208"/>
      <c r="MSO303" s="208"/>
      <c r="MSP303" s="208"/>
      <c r="MSQ303" s="208"/>
      <c r="MSR303" s="208"/>
      <c r="MSS303" s="208"/>
      <c r="MST303" s="208"/>
      <c r="MSU303" s="208"/>
      <c r="MSV303" s="208"/>
      <c r="MSW303" s="208"/>
      <c r="MSX303" s="208"/>
      <c r="MSY303" s="208"/>
      <c r="MSZ303" s="208"/>
      <c r="MTA303" s="208"/>
      <c r="MTB303" s="208"/>
      <c r="MTC303" s="208"/>
      <c r="MTD303" s="208"/>
      <c r="MTE303" s="208"/>
      <c r="MTF303" s="208"/>
      <c r="MTG303" s="208"/>
      <c r="MTH303" s="208"/>
      <c r="MTI303" s="208"/>
      <c r="MTJ303" s="208"/>
      <c r="MTK303" s="208"/>
      <c r="MTL303" s="208"/>
      <c r="MTM303" s="208"/>
      <c r="MTN303" s="208"/>
      <c r="MTO303" s="208"/>
      <c r="MTP303" s="208"/>
      <c r="MTQ303" s="208"/>
      <c r="MTR303" s="208"/>
      <c r="MTS303" s="208"/>
      <c r="MTT303" s="208"/>
      <c r="MTU303" s="208"/>
      <c r="MTV303" s="208"/>
      <c r="MTW303" s="208"/>
      <c r="MTX303" s="208"/>
      <c r="MTY303" s="208"/>
      <c r="MTZ303" s="208"/>
      <c r="MUA303" s="208"/>
      <c r="MUB303" s="208"/>
      <c r="MUC303" s="208"/>
      <c r="MUD303" s="208"/>
      <c r="MUE303" s="208"/>
      <c r="MUF303" s="208"/>
      <c r="MUG303" s="208"/>
      <c r="MUH303" s="208"/>
      <c r="MUI303" s="208"/>
      <c r="MUJ303" s="208"/>
      <c r="MUK303" s="208"/>
      <c r="MUL303" s="208"/>
      <c r="MUM303" s="208"/>
      <c r="MUN303" s="208"/>
      <c r="MUO303" s="208"/>
      <c r="MUP303" s="208"/>
      <c r="MUQ303" s="208"/>
      <c r="MUR303" s="208"/>
      <c r="MUS303" s="208"/>
      <c r="MUT303" s="208"/>
      <c r="MUU303" s="208"/>
      <c r="MUV303" s="208"/>
      <c r="MUW303" s="208"/>
      <c r="MUX303" s="208"/>
      <c r="MUY303" s="208"/>
      <c r="MUZ303" s="208"/>
      <c r="MVA303" s="208"/>
      <c r="MVB303" s="208"/>
      <c r="MVC303" s="208"/>
      <c r="MVD303" s="208"/>
      <c r="MVE303" s="208"/>
      <c r="MVF303" s="208"/>
      <c r="MVG303" s="208"/>
      <c r="MVH303" s="208"/>
      <c r="MVI303" s="208"/>
      <c r="MVJ303" s="208"/>
      <c r="MVK303" s="208"/>
      <c r="MVL303" s="208"/>
      <c r="MVM303" s="208"/>
      <c r="MVN303" s="208"/>
      <c r="MVO303" s="208"/>
      <c r="MVP303" s="208"/>
      <c r="MVQ303" s="208"/>
      <c r="MVR303" s="208"/>
      <c r="MVS303" s="208"/>
      <c r="MVT303" s="208"/>
      <c r="MVU303" s="208"/>
      <c r="MVV303" s="208"/>
      <c r="MVW303" s="208"/>
      <c r="MVX303" s="208"/>
      <c r="MVY303" s="208"/>
      <c r="MVZ303" s="208"/>
      <c r="MWA303" s="208"/>
      <c r="MWB303" s="208"/>
      <c r="MWC303" s="208"/>
      <c r="MWD303" s="208"/>
      <c r="MWE303" s="208"/>
      <c r="MWF303" s="208"/>
      <c r="MWG303" s="208"/>
      <c r="MWH303" s="208"/>
      <c r="MWI303" s="208"/>
      <c r="MWJ303" s="208"/>
      <c r="MWK303" s="208"/>
      <c r="MWL303" s="208"/>
      <c r="MWM303" s="208"/>
      <c r="MWN303" s="208"/>
      <c r="MWO303" s="208"/>
      <c r="MWP303" s="208"/>
      <c r="MWQ303" s="208"/>
      <c r="MWR303" s="208"/>
      <c r="MWS303" s="208"/>
      <c r="MWT303" s="208"/>
      <c r="MWU303" s="208"/>
      <c r="MWV303" s="208"/>
      <c r="MWW303" s="208"/>
      <c r="MWX303" s="208"/>
      <c r="MWY303" s="208"/>
      <c r="MWZ303" s="208"/>
      <c r="MXA303" s="208"/>
      <c r="MXB303" s="208"/>
      <c r="MXC303" s="208"/>
      <c r="MXD303" s="208"/>
      <c r="MXE303" s="208"/>
      <c r="MXF303" s="208"/>
      <c r="MXG303" s="208"/>
      <c r="MXH303" s="208"/>
      <c r="MXI303" s="208"/>
      <c r="MXJ303" s="208"/>
      <c r="MXK303" s="208"/>
      <c r="MXL303" s="208"/>
      <c r="MXM303" s="208"/>
      <c r="MXN303" s="208"/>
      <c r="MXO303" s="208"/>
      <c r="MXP303" s="208"/>
      <c r="MXQ303" s="208"/>
      <c r="MXR303" s="208"/>
      <c r="MXS303" s="208"/>
      <c r="MXT303" s="208"/>
      <c r="MXU303" s="208"/>
      <c r="MXV303" s="208"/>
      <c r="MXW303" s="208"/>
      <c r="MXX303" s="208"/>
      <c r="MXY303" s="208"/>
      <c r="MXZ303" s="208"/>
      <c r="MYA303" s="208"/>
      <c r="MYB303" s="208"/>
      <c r="MYC303" s="208"/>
      <c r="MYD303" s="208"/>
      <c r="MYE303" s="208"/>
      <c r="MYF303" s="208"/>
      <c r="MYG303" s="208"/>
      <c r="MYH303" s="208"/>
      <c r="MYI303" s="208"/>
      <c r="MYJ303" s="208"/>
      <c r="MYK303" s="208"/>
      <c r="MYL303" s="208"/>
      <c r="MYM303" s="208"/>
      <c r="MYN303" s="208"/>
      <c r="MYO303" s="208"/>
      <c r="MYP303" s="208"/>
      <c r="MYQ303" s="208"/>
      <c r="MYR303" s="208"/>
      <c r="MYS303" s="208"/>
      <c r="MYT303" s="208"/>
      <c r="MYU303" s="208"/>
      <c r="MYV303" s="208"/>
      <c r="MYW303" s="208"/>
      <c r="MYX303" s="208"/>
      <c r="MYY303" s="208"/>
      <c r="MYZ303" s="208"/>
      <c r="MZA303" s="208"/>
      <c r="MZB303" s="208"/>
      <c r="MZC303" s="208"/>
      <c r="MZD303" s="208"/>
      <c r="MZE303" s="208"/>
      <c r="MZF303" s="208"/>
      <c r="MZG303" s="208"/>
      <c r="MZH303" s="208"/>
      <c r="MZI303" s="208"/>
      <c r="MZJ303" s="208"/>
      <c r="MZK303" s="208"/>
      <c r="MZL303" s="208"/>
      <c r="MZM303" s="208"/>
      <c r="MZN303" s="208"/>
      <c r="MZO303" s="208"/>
      <c r="MZP303" s="208"/>
      <c r="MZQ303" s="208"/>
      <c r="MZR303" s="208"/>
      <c r="MZS303" s="208"/>
      <c r="MZT303" s="208"/>
      <c r="MZU303" s="208"/>
      <c r="MZV303" s="208"/>
      <c r="MZW303" s="208"/>
      <c r="MZX303" s="208"/>
      <c r="MZY303" s="208"/>
      <c r="MZZ303" s="208"/>
      <c r="NAA303" s="208"/>
      <c r="NAB303" s="208"/>
      <c r="NAC303" s="208"/>
      <c r="NAD303" s="208"/>
      <c r="NAE303" s="208"/>
      <c r="NAF303" s="208"/>
      <c r="NAG303" s="208"/>
      <c r="NAH303" s="208"/>
      <c r="NAI303" s="208"/>
      <c r="NAJ303" s="208"/>
      <c r="NAK303" s="208"/>
      <c r="NAL303" s="208"/>
      <c r="NAM303" s="208"/>
      <c r="NAN303" s="208"/>
      <c r="NAO303" s="208"/>
      <c r="NAP303" s="208"/>
      <c r="NAQ303" s="208"/>
      <c r="NAR303" s="208"/>
      <c r="NAS303" s="208"/>
      <c r="NAT303" s="208"/>
      <c r="NAU303" s="208"/>
      <c r="NAV303" s="208"/>
      <c r="NAW303" s="208"/>
      <c r="NAX303" s="208"/>
      <c r="NAY303" s="208"/>
      <c r="NAZ303" s="208"/>
      <c r="NBA303" s="208"/>
      <c r="NBB303" s="208"/>
      <c r="NBC303" s="208"/>
      <c r="NBD303" s="208"/>
      <c r="NBE303" s="208"/>
      <c r="NBF303" s="208"/>
      <c r="NBG303" s="208"/>
      <c r="NBH303" s="208"/>
      <c r="NBI303" s="208"/>
      <c r="NBJ303" s="208"/>
      <c r="NBK303" s="208"/>
      <c r="NBL303" s="208"/>
      <c r="NBM303" s="208"/>
      <c r="NBN303" s="208"/>
      <c r="NBO303" s="208"/>
      <c r="NBP303" s="208"/>
      <c r="NBQ303" s="208"/>
      <c r="NBR303" s="208"/>
      <c r="NBS303" s="208"/>
      <c r="NBT303" s="208"/>
      <c r="NBU303" s="208"/>
      <c r="NBV303" s="208"/>
      <c r="NBW303" s="208"/>
      <c r="NBX303" s="208"/>
      <c r="NBY303" s="208"/>
      <c r="NBZ303" s="208"/>
      <c r="NCA303" s="208"/>
      <c r="NCB303" s="208"/>
      <c r="NCC303" s="208"/>
      <c r="NCD303" s="208"/>
      <c r="NCE303" s="208"/>
      <c r="NCF303" s="208"/>
      <c r="NCG303" s="208"/>
      <c r="NCH303" s="208"/>
      <c r="NCI303" s="208"/>
      <c r="NCJ303" s="208"/>
      <c r="NCK303" s="208"/>
      <c r="NCL303" s="208"/>
      <c r="NCM303" s="208"/>
      <c r="NCN303" s="208"/>
      <c r="NCO303" s="208"/>
      <c r="NCP303" s="208"/>
      <c r="NCQ303" s="208"/>
      <c r="NCR303" s="208"/>
      <c r="NCS303" s="208"/>
      <c r="NCT303" s="208"/>
      <c r="NCU303" s="208"/>
      <c r="NCV303" s="208"/>
      <c r="NCW303" s="208"/>
      <c r="NCX303" s="208"/>
      <c r="NCY303" s="208"/>
      <c r="NCZ303" s="208"/>
      <c r="NDA303" s="208"/>
      <c r="NDB303" s="208"/>
      <c r="NDC303" s="208"/>
      <c r="NDD303" s="208"/>
      <c r="NDE303" s="208"/>
      <c r="NDF303" s="208"/>
      <c r="NDG303" s="208"/>
      <c r="NDH303" s="208"/>
      <c r="NDI303" s="208"/>
      <c r="NDJ303" s="208"/>
      <c r="NDK303" s="208"/>
      <c r="NDL303" s="208"/>
      <c r="NDM303" s="208"/>
      <c r="NDN303" s="208"/>
      <c r="NDO303" s="208"/>
      <c r="NDP303" s="208"/>
      <c r="NDQ303" s="208"/>
      <c r="NDR303" s="208"/>
      <c r="NDS303" s="208"/>
      <c r="NDT303" s="208"/>
      <c r="NDU303" s="208"/>
      <c r="NDV303" s="208"/>
      <c r="NDW303" s="208"/>
      <c r="NDX303" s="208"/>
      <c r="NDY303" s="208"/>
      <c r="NDZ303" s="208"/>
      <c r="NEA303" s="208"/>
      <c r="NEB303" s="208"/>
      <c r="NEC303" s="208"/>
      <c r="NED303" s="208"/>
      <c r="NEE303" s="208"/>
      <c r="NEF303" s="208"/>
      <c r="NEG303" s="208"/>
      <c r="NEH303" s="208"/>
      <c r="NEI303" s="208"/>
      <c r="NEJ303" s="208"/>
      <c r="NEK303" s="208"/>
      <c r="NEL303" s="208"/>
      <c r="NEM303" s="208"/>
      <c r="NEN303" s="208"/>
      <c r="NEO303" s="208"/>
      <c r="NEP303" s="208"/>
      <c r="NEQ303" s="208"/>
      <c r="NER303" s="208"/>
      <c r="NES303" s="208"/>
      <c r="NET303" s="208"/>
      <c r="NEU303" s="208"/>
      <c r="NEV303" s="208"/>
      <c r="NEW303" s="208"/>
      <c r="NEX303" s="208"/>
      <c r="NEY303" s="208"/>
      <c r="NEZ303" s="208"/>
      <c r="NFA303" s="208"/>
      <c r="NFB303" s="208"/>
      <c r="NFC303" s="208"/>
      <c r="NFD303" s="208"/>
      <c r="NFE303" s="208"/>
      <c r="NFF303" s="208"/>
      <c r="NFG303" s="208"/>
      <c r="NFH303" s="208"/>
      <c r="NFI303" s="208"/>
      <c r="NFJ303" s="208"/>
      <c r="NFK303" s="208"/>
      <c r="NFL303" s="208"/>
      <c r="NFM303" s="208"/>
      <c r="NFN303" s="208"/>
      <c r="NFO303" s="208"/>
      <c r="NFP303" s="208"/>
      <c r="NFQ303" s="208"/>
      <c r="NFR303" s="208"/>
      <c r="NFS303" s="208"/>
      <c r="NFT303" s="208"/>
      <c r="NFU303" s="208"/>
      <c r="NFV303" s="208"/>
      <c r="NFW303" s="208"/>
      <c r="NFX303" s="208"/>
      <c r="NFY303" s="208"/>
      <c r="NFZ303" s="208"/>
      <c r="NGA303" s="208"/>
      <c r="NGB303" s="208"/>
      <c r="NGC303" s="208"/>
      <c r="NGD303" s="208"/>
      <c r="NGE303" s="208"/>
      <c r="NGF303" s="208"/>
      <c r="NGG303" s="208"/>
      <c r="NGH303" s="208"/>
      <c r="NGI303" s="208"/>
      <c r="NGJ303" s="208"/>
      <c r="NGK303" s="208"/>
      <c r="NGL303" s="208"/>
      <c r="NGM303" s="208"/>
      <c r="NGN303" s="208"/>
      <c r="NGO303" s="208"/>
      <c r="NGP303" s="208"/>
      <c r="NGQ303" s="208"/>
      <c r="NGR303" s="208"/>
      <c r="NGS303" s="208"/>
      <c r="NGT303" s="208"/>
      <c r="NGU303" s="208"/>
      <c r="NGV303" s="208"/>
      <c r="NGW303" s="208"/>
      <c r="NGX303" s="208"/>
      <c r="NGY303" s="208"/>
      <c r="NGZ303" s="208"/>
      <c r="NHA303" s="208"/>
      <c r="NHB303" s="208"/>
      <c r="NHC303" s="208"/>
      <c r="NHD303" s="208"/>
      <c r="NHE303" s="208"/>
      <c r="NHF303" s="208"/>
      <c r="NHG303" s="208"/>
      <c r="NHH303" s="208"/>
      <c r="NHI303" s="208"/>
      <c r="NHJ303" s="208"/>
      <c r="NHK303" s="208"/>
      <c r="NHL303" s="208"/>
      <c r="NHM303" s="208"/>
      <c r="NHN303" s="208"/>
      <c r="NHO303" s="208"/>
      <c r="NHP303" s="208"/>
      <c r="NHQ303" s="208"/>
      <c r="NHR303" s="208"/>
      <c r="NHS303" s="208"/>
      <c r="NHT303" s="208"/>
      <c r="NHU303" s="208"/>
      <c r="NHV303" s="208"/>
      <c r="NHW303" s="208"/>
      <c r="NHX303" s="208"/>
      <c r="NHY303" s="208"/>
      <c r="NHZ303" s="208"/>
      <c r="NIA303" s="208"/>
      <c r="NIB303" s="208"/>
      <c r="NIC303" s="208"/>
      <c r="NID303" s="208"/>
      <c r="NIE303" s="208"/>
      <c r="NIF303" s="208"/>
      <c r="NIG303" s="208"/>
      <c r="NIH303" s="208"/>
      <c r="NII303" s="208"/>
      <c r="NIJ303" s="208"/>
      <c r="NIK303" s="208"/>
      <c r="NIL303" s="208"/>
      <c r="NIM303" s="208"/>
      <c r="NIN303" s="208"/>
      <c r="NIO303" s="208"/>
      <c r="NIP303" s="208"/>
      <c r="NIQ303" s="208"/>
      <c r="NIR303" s="208"/>
      <c r="NIS303" s="208"/>
      <c r="NIT303" s="208"/>
      <c r="NIU303" s="208"/>
      <c r="NIV303" s="208"/>
      <c r="NIW303" s="208"/>
      <c r="NIX303" s="208"/>
      <c r="NIY303" s="208"/>
      <c r="NIZ303" s="208"/>
      <c r="NJA303" s="208"/>
      <c r="NJB303" s="208"/>
      <c r="NJC303" s="208"/>
      <c r="NJD303" s="208"/>
      <c r="NJE303" s="208"/>
      <c r="NJF303" s="208"/>
      <c r="NJG303" s="208"/>
      <c r="NJH303" s="208"/>
      <c r="NJI303" s="208"/>
      <c r="NJJ303" s="208"/>
      <c r="NJK303" s="208"/>
      <c r="NJL303" s="208"/>
      <c r="NJM303" s="208"/>
      <c r="NJN303" s="208"/>
      <c r="NJO303" s="208"/>
      <c r="NJP303" s="208"/>
      <c r="NJQ303" s="208"/>
      <c r="NJR303" s="208"/>
      <c r="NJS303" s="208"/>
      <c r="NJT303" s="208"/>
      <c r="NJU303" s="208"/>
      <c r="NJV303" s="208"/>
      <c r="NJW303" s="208"/>
      <c r="NJX303" s="208"/>
      <c r="NJY303" s="208"/>
      <c r="NJZ303" s="208"/>
      <c r="NKA303" s="208"/>
      <c r="NKB303" s="208"/>
      <c r="NKC303" s="208"/>
      <c r="NKD303" s="208"/>
      <c r="NKE303" s="208"/>
      <c r="NKF303" s="208"/>
      <c r="NKG303" s="208"/>
      <c r="NKH303" s="208"/>
      <c r="NKI303" s="208"/>
      <c r="NKJ303" s="208"/>
      <c r="NKK303" s="208"/>
      <c r="NKL303" s="208"/>
      <c r="NKM303" s="208"/>
      <c r="NKN303" s="208"/>
      <c r="NKO303" s="208"/>
      <c r="NKP303" s="208"/>
      <c r="NKQ303" s="208"/>
      <c r="NKR303" s="208"/>
      <c r="NKS303" s="208"/>
      <c r="NKT303" s="208"/>
      <c r="NKU303" s="208"/>
      <c r="NKV303" s="208"/>
      <c r="NKW303" s="208"/>
      <c r="NKX303" s="208"/>
      <c r="NKY303" s="208"/>
      <c r="NKZ303" s="208"/>
      <c r="NLA303" s="208"/>
      <c r="NLB303" s="208"/>
      <c r="NLC303" s="208"/>
      <c r="NLD303" s="208"/>
      <c r="NLE303" s="208"/>
      <c r="NLF303" s="208"/>
      <c r="NLG303" s="208"/>
      <c r="NLH303" s="208"/>
      <c r="NLI303" s="208"/>
      <c r="NLJ303" s="208"/>
      <c r="NLK303" s="208"/>
      <c r="NLL303" s="208"/>
      <c r="NLM303" s="208"/>
      <c r="NLN303" s="208"/>
      <c r="NLO303" s="208"/>
      <c r="NLP303" s="208"/>
      <c r="NLQ303" s="208"/>
      <c r="NLR303" s="208"/>
      <c r="NLS303" s="208"/>
      <c r="NLT303" s="208"/>
      <c r="NLU303" s="208"/>
      <c r="NLV303" s="208"/>
      <c r="NLW303" s="208"/>
      <c r="NLX303" s="208"/>
      <c r="NLY303" s="208"/>
      <c r="NLZ303" s="208"/>
      <c r="NMA303" s="208"/>
      <c r="NMB303" s="208"/>
      <c r="NMC303" s="208"/>
      <c r="NMD303" s="208"/>
      <c r="NME303" s="208"/>
      <c r="NMF303" s="208"/>
      <c r="NMG303" s="208"/>
      <c r="NMH303" s="208"/>
      <c r="NMI303" s="208"/>
      <c r="NMJ303" s="208"/>
      <c r="NMK303" s="208"/>
      <c r="NML303" s="208"/>
      <c r="NMM303" s="208"/>
      <c r="NMN303" s="208"/>
      <c r="NMO303" s="208"/>
      <c r="NMP303" s="208"/>
      <c r="NMQ303" s="208"/>
      <c r="NMR303" s="208"/>
      <c r="NMS303" s="208"/>
      <c r="NMT303" s="208"/>
      <c r="NMU303" s="208"/>
      <c r="NMV303" s="208"/>
      <c r="NMW303" s="208"/>
      <c r="NMX303" s="208"/>
      <c r="NMY303" s="208"/>
      <c r="NMZ303" s="208"/>
      <c r="NNA303" s="208"/>
      <c r="NNB303" s="208"/>
      <c r="NNC303" s="208"/>
      <c r="NND303" s="208"/>
      <c r="NNE303" s="208"/>
      <c r="NNF303" s="208"/>
      <c r="NNG303" s="208"/>
      <c r="NNH303" s="208"/>
      <c r="NNI303" s="208"/>
      <c r="NNJ303" s="208"/>
      <c r="NNK303" s="208"/>
      <c r="NNL303" s="208"/>
      <c r="NNM303" s="208"/>
      <c r="NNN303" s="208"/>
      <c r="NNO303" s="208"/>
      <c r="NNP303" s="208"/>
      <c r="NNQ303" s="208"/>
      <c r="NNR303" s="208"/>
      <c r="NNS303" s="208"/>
      <c r="NNT303" s="208"/>
      <c r="NNU303" s="208"/>
      <c r="NNV303" s="208"/>
      <c r="NNW303" s="208"/>
      <c r="NNX303" s="208"/>
      <c r="NNY303" s="208"/>
      <c r="NNZ303" s="208"/>
      <c r="NOA303" s="208"/>
      <c r="NOB303" s="208"/>
      <c r="NOC303" s="208"/>
      <c r="NOD303" s="208"/>
      <c r="NOE303" s="208"/>
      <c r="NOF303" s="208"/>
      <c r="NOG303" s="208"/>
      <c r="NOH303" s="208"/>
      <c r="NOI303" s="208"/>
      <c r="NOJ303" s="208"/>
      <c r="NOK303" s="208"/>
      <c r="NOL303" s="208"/>
      <c r="NOM303" s="208"/>
      <c r="NON303" s="208"/>
      <c r="NOO303" s="208"/>
      <c r="NOP303" s="208"/>
      <c r="NOQ303" s="208"/>
      <c r="NOR303" s="208"/>
      <c r="NOS303" s="208"/>
      <c r="NOT303" s="208"/>
      <c r="NOU303" s="208"/>
      <c r="NOV303" s="208"/>
      <c r="NOW303" s="208"/>
      <c r="NOX303" s="208"/>
      <c r="NOY303" s="208"/>
      <c r="NOZ303" s="208"/>
      <c r="NPA303" s="208"/>
      <c r="NPB303" s="208"/>
      <c r="NPC303" s="208"/>
      <c r="NPD303" s="208"/>
      <c r="NPE303" s="208"/>
      <c r="NPF303" s="208"/>
      <c r="NPG303" s="208"/>
      <c r="NPH303" s="208"/>
      <c r="NPI303" s="208"/>
      <c r="NPJ303" s="208"/>
      <c r="NPK303" s="208"/>
      <c r="NPL303" s="208"/>
      <c r="NPM303" s="208"/>
      <c r="NPN303" s="208"/>
      <c r="NPO303" s="208"/>
      <c r="NPP303" s="208"/>
      <c r="NPQ303" s="208"/>
      <c r="NPR303" s="208"/>
      <c r="NPS303" s="208"/>
      <c r="NPT303" s="208"/>
      <c r="NPU303" s="208"/>
      <c r="NPV303" s="208"/>
      <c r="NPW303" s="208"/>
      <c r="NPX303" s="208"/>
      <c r="NPY303" s="208"/>
      <c r="NPZ303" s="208"/>
      <c r="NQA303" s="208"/>
      <c r="NQB303" s="208"/>
      <c r="NQC303" s="208"/>
      <c r="NQD303" s="208"/>
      <c r="NQE303" s="208"/>
      <c r="NQF303" s="208"/>
      <c r="NQG303" s="208"/>
      <c r="NQH303" s="208"/>
      <c r="NQI303" s="208"/>
      <c r="NQJ303" s="208"/>
      <c r="NQK303" s="208"/>
      <c r="NQL303" s="208"/>
      <c r="NQM303" s="208"/>
      <c r="NQN303" s="208"/>
      <c r="NQO303" s="208"/>
      <c r="NQP303" s="208"/>
      <c r="NQQ303" s="208"/>
      <c r="NQR303" s="208"/>
      <c r="NQS303" s="208"/>
      <c r="NQT303" s="208"/>
      <c r="NQU303" s="208"/>
      <c r="NQV303" s="208"/>
      <c r="NQW303" s="208"/>
      <c r="NQX303" s="208"/>
      <c r="NQY303" s="208"/>
      <c r="NQZ303" s="208"/>
      <c r="NRA303" s="208"/>
      <c r="NRB303" s="208"/>
      <c r="NRC303" s="208"/>
      <c r="NRD303" s="208"/>
      <c r="NRE303" s="208"/>
      <c r="NRF303" s="208"/>
      <c r="NRG303" s="208"/>
      <c r="NRH303" s="208"/>
      <c r="NRI303" s="208"/>
      <c r="NRJ303" s="208"/>
      <c r="NRK303" s="208"/>
      <c r="NRL303" s="208"/>
      <c r="NRM303" s="208"/>
      <c r="NRN303" s="208"/>
      <c r="NRO303" s="208"/>
      <c r="NRP303" s="208"/>
      <c r="NRQ303" s="208"/>
      <c r="NRR303" s="208"/>
      <c r="NRS303" s="208"/>
      <c r="NRT303" s="208"/>
      <c r="NRU303" s="208"/>
      <c r="NRV303" s="208"/>
      <c r="NRW303" s="208"/>
      <c r="NRX303" s="208"/>
      <c r="NRY303" s="208"/>
      <c r="NRZ303" s="208"/>
      <c r="NSA303" s="208"/>
      <c r="NSB303" s="208"/>
      <c r="NSC303" s="208"/>
      <c r="NSD303" s="208"/>
      <c r="NSE303" s="208"/>
      <c r="NSF303" s="208"/>
      <c r="NSG303" s="208"/>
      <c r="NSH303" s="208"/>
      <c r="NSI303" s="208"/>
      <c r="NSJ303" s="208"/>
      <c r="NSK303" s="208"/>
      <c r="NSL303" s="208"/>
      <c r="NSM303" s="208"/>
      <c r="NSN303" s="208"/>
      <c r="NSO303" s="208"/>
      <c r="NSP303" s="208"/>
      <c r="NSQ303" s="208"/>
      <c r="NSR303" s="208"/>
      <c r="NSS303" s="208"/>
      <c r="NST303" s="208"/>
      <c r="NSU303" s="208"/>
      <c r="NSV303" s="208"/>
      <c r="NSW303" s="208"/>
      <c r="NSX303" s="208"/>
      <c r="NSY303" s="208"/>
      <c r="NSZ303" s="208"/>
      <c r="NTA303" s="208"/>
      <c r="NTB303" s="208"/>
      <c r="NTC303" s="208"/>
      <c r="NTD303" s="208"/>
      <c r="NTE303" s="208"/>
      <c r="NTF303" s="208"/>
      <c r="NTG303" s="208"/>
      <c r="NTH303" s="208"/>
      <c r="NTI303" s="208"/>
      <c r="NTJ303" s="208"/>
      <c r="NTK303" s="208"/>
      <c r="NTL303" s="208"/>
      <c r="NTM303" s="208"/>
      <c r="NTN303" s="208"/>
      <c r="NTO303" s="208"/>
      <c r="NTP303" s="208"/>
      <c r="NTQ303" s="208"/>
      <c r="NTR303" s="208"/>
      <c r="NTS303" s="208"/>
      <c r="NTT303" s="208"/>
      <c r="NTU303" s="208"/>
      <c r="NTV303" s="208"/>
      <c r="NTW303" s="208"/>
      <c r="NTX303" s="208"/>
      <c r="NTY303" s="208"/>
      <c r="NTZ303" s="208"/>
      <c r="NUA303" s="208"/>
      <c r="NUB303" s="208"/>
      <c r="NUC303" s="208"/>
      <c r="NUD303" s="208"/>
      <c r="NUE303" s="208"/>
      <c r="NUF303" s="208"/>
      <c r="NUG303" s="208"/>
      <c r="NUH303" s="208"/>
      <c r="NUI303" s="208"/>
      <c r="NUJ303" s="208"/>
      <c r="NUK303" s="208"/>
      <c r="NUL303" s="208"/>
      <c r="NUM303" s="208"/>
      <c r="NUN303" s="208"/>
      <c r="NUO303" s="208"/>
      <c r="NUP303" s="208"/>
      <c r="NUQ303" s="208"/>
      <c r="NUR303" s="208"/>
      <c r="NUS303" s="208"/>
      <c r="NUT303" s="208"/>
      <c r="NUU303" s="208"/>
      <c r="NUV303" s="208"/>
      <c r="NUW303" s="208"/>
      <c r="NUX303" s="208"/>
      <c r="NUY303" s="208"/>
      <c r="NUZ303" s="208"/>
      <c r="NVA303" s="208"/>
      <c r="NVB303" s="208"/>
      <c r="NVC303" s="208"/>
      <c r="NVD303" s="208"/>
      <c r="NVE303" s="208"/>
      <c r="NVF303" s="208"/>
      <c r="NVG303" s="208"/>
      <c r="NVH303" s="208"/>
      <c r="NVI303" s="208"/>
      <c r="NVJ303" s="208"/>
      <c r="NVK303" s="208"/>
      <c r="NVL303" s="208"/>
      <c r="NVM303" s="208"/>
      <c r="NVN303" s="208"/>
      <c r="NVO303" s="208"/>
      <c r="NVP303" s="208"/>
      <c r="NVQ303" s="208"/>
      <c r="NVR303" s="208"/>
      <c r="NVS303" s="208"/>
      <c r="NVT303" s="208"/>
      <c r="NVU303" s="208"/>
      <c r="NVV303" s="208"/>
      <c r="NVW303" s="208"/>
      <c r="NVX303" s="208"/>
      <c r="NVY303" s="208"/>
      <c r="NVZ303" s="208"/>
      <c r="NWA303" s="208"/>
      <c r="NWB303" s="208"/>
      <c r="NWC303" s="208"/>
      <c r="NWD303" s="208"/>
      <c r="NWE303" s="208"/>
      <c r="NWF303" s="208"/>
      <c r="NWG303" s="208"/>
      <c r="NWH303" s="208"/>
      <c r="NWI303" s="208"/>
      <c r="NWJ303" s="208"/>
      <c r="NWK303" s="208"/>
      <c r="NWL303" s="208"/>
      <c r="NWM303" s="208"/>
      <c r="NWN303" s="208"/>
      <c r="NWO303" s="208"/>
      <c r="NWP303" s="208"/>
      <c r="NWQ303" s="208"/>
      <c r="NWR303" s="208"/>
      <c r="NWS303" s="208"/>
      <c r="NWT303" s="208"/>
      <c r="NWU303" s="208"/>
      <c r="NWV303" s="208"/>
      <c r="NWW303" s="208"/>
      <c r="NWX303" s="208"/>
      <c r="NWY303" s="208"/>
      <c r="NWZ303" s="208"/>
      <c r="NXA303" s="208"/>
      <c r="NXB303" s="208"/>
      <c r="NXC303" s="208"/>
      <c r="NXD303" s="208"/>
      <c r="NXE303" s="208"/>
      <c r="NXF303" s="208"/>
      <c r="NXG303" s="208"/>
      <c r="NXH303" s="208"/>
      <c r="NXI303" s="208"/>
      <c r="NXJ303" s="208"/>
      <c r="NXK303" s="208"/>
      <c r="NXL303" s="208"/>
      <c r="NXM303" s="208"/>
      <c r="NXN303" s="208"/>
      <c r="NXO303" s="208"/>
      <c r="NXP303" s="208"/>
      <c r="NXQ303" s="208"/>
      <c r="NXR303" s="208"/>
      <c r="NXS303" s="208"/>
      <c r="NXT303" s="208"/>
      <c r="NXU303" s="208"/>
      <c r="NXV303" s="208"/>
      <c r="NXW303" s="208"/>
      <c r="NXX303" s="208"/>
      <c r="NXY303" s="208"/>
      <c r="NXZ303" s="208"/>
      <c r="NYA303" s="208"/>
      <c r="NYB303" s="208"/>
      <c r="NYC303" s="208"/>
      <c r="NYD303" s="208"/>
      <c r="NYE303" s="208"/>
      <c r="NYF303" s="208"/>
      <c r="NYG303" s="208"/>
      <c r="NYH303" s="208"/>
      <c r="NYI303" s="208"/>
      <c r="NYJ303" s="208"/>
      <c r="NYK303" s="208"/>
      <c r="NYL303" s="208"/>
      <c r="NYM303" s="208"/>
      <c r="NYN303" s="208"/>
      <c r="NYO303" s="208"/>
      <c r="NYP303" s="208"/>
      <c r="NYQ303" s="208"/>
      <c r="NYR303" s="208"/>
      <c r="NYS303" s="208"/>
      <c r="NYT303" s="208"/>
      <c r="NYU303" s="208"/>
      <c r="NYV303" s="208"/>
      <c r="NYW303" s="208"/>
      <c r="NYX303" s="208"/>
      <c r="NYY303" s="208"/>
      <c r="NYZ303" s="208"/>
      <c r="NZA303" s="208"/>
      <c r="NZB303" s="208"/>
      <c r="NZC303" s="208"/>
      <c r="NZD303" s="208"/>
      <c r="NZE303" s="208"/>
      <c r="NZF303" s="208"/>
      <c r="NZG303" s="208"/>
      <c r="NZH303" s="208"/>
      <c r="NZI303" s="208"/>
      <c r="NZJ303" s="208"/>
      <c r="NZK303" s="208"/>
      <c r="NZL303" s="208"/>
      <c r="NZM303" s="208"/>
      <c r="NZN303" s="208"/>
      <c r="NZO303" s="208"/>
      <c r="NZP303" s="208"/>
      <c r="NZQ303" s="208"/>
      <c r="NZR303" s="208"/>
      <c r="NZS303" s="208"/>
      <c r="NZT303" s="208"/>
      <c r="NZU303" s="208"/>
      <c r="NZV303" s="208"/>
      <c r="NZW303" s="208"/>
      <c r="NZX303" s="208"/>
      <c r="NZY303" s="208"/>
      <c r="NZZ303" s="208"/>
      <c r="OAA303" s="208"/>
      <c r="OAB303" s="208"/>
      <c r="OAC303" s="208"/>
      <c r="OAD303" s="208"/>
      <c r="OAE303" s="208"/>
      <c r="OAF303" s="208"/>
      <c r="OAG303" s="208"/>
      <c r="OAH303" s="208"/>
      <c r="OAI303" s="208"/>
      <c r="OAJ303" s="208"/>
      <c r="OAK303" s="208"/>
      <c r="OAL303" s="208"/>
      <c r="OAM303" s="208"/>
      <c r="OAN303" s="208"/>
      <c r="OAO303" s="208"/>
      <c r="OAP303" s="208"/>
      <c r="OAQ303" s="208"/>
      <c r="OAR303" s="208"/>
      <c r="OAS303" s="208"/>
      <c r="OAT303" s="208"/>
      <c r="OAU303" s="208"/>
      <c r="OAV303" s="208"/>
      <c r="OAW303" s="208"/>
      <c r="OAX303" s="208"/>
      <c r="OAY303" s="208"/>
      <c r="OAZ303" s="208"/>
      <c r="OBA303" s="208"/>
      <c r="OBB303" s="208"/>
      <c r="OBC303" s="208"/>
      <c r="OBD303" s="208"/>
      <c r="OBE303" s="208"/>
      <c r="OBF303" s="208"/>
      <c r="OBG303" s="208"/>
      <c r="OBH303" s="208"/>
      <c r="OBI303" s="208"/>
      <c r="OBJ303" s="208"/>
      <c r="OBK303" s="208"/>
      <c r="OBL303" s="208"/>
      <c r="OBM303" s="208"/>
      <c r="OBN303" s="208"/>
      <c r="OBO303" s="208"/>
      <c r="OBP303" s="208"/>
      <c r="OBQ303" s="208"/>
      <c r="OBR303" s="208"/>
      <c r="OBS303" s="208"/>
      <c r="OBT303" s="208"/>
      <c r="OBU303" s="208"/>
      <c r="OBV303" s="208"/>
      <c r="OBW303" s="208"/>
      <c r="OBX303" s="208"/>
      <c r="OBY303" s="208"/>
      <c r="OBZ303" s="208"/>
      <c r="OCA303" s="208"/>
      <c r="OCB303" s="208"/>
      <c r="OCC303" s="208"/>
      <c r="OCD303" s="208"/>
      <c r="OCE303" s="208"/>
      <c r="OCF303" s="208"/>
      <c r="OCG303" s="208"/>
      <c r="OCH303" s="208"/>
      <c r="OCI303" s="208"/>
      <c r="OCJ303" s="208"/>
      <c r="OCK303" s="208"/>
      <c r="OCL303" s="208"/>
      <c r="OCM303" s="208"/>
      <c r="OCN303" s="208"/>
      <c r="OCO303" s="208"/>
      <c r="OCP303" s="208"/>
      <c r="OCQ303" s="208"/>
      <c r="OCR303" s="208"/>
      <c r="OCS303" s="208"/>
      <c r="OCT303" s="208"/>
      <c r="OCU303" s="208"/>
      <c r="OCV303" s="208"/>
      <c r="OCW303" s="208"/>
      <c r="OCX303" s="208"/>
      <c r="OCY303" s="208"/>
      <c r="OCZ303" s="208"/>
      <c r="ODA303" s="208"/>
      <c r="ODB303" s="208"/>
      <c r="ODC303" s="208"/>
      <c r="ODD303" s="208"/>
      <c r="ODE303" s="208"/>
      <c r="ODF303" s="208"/>
      <c r="ODG303" s="208"/>
      <c r="ODH303" s="208"/>
      <c r="ODI303" s="208"/>
      <c r="ODJ303" s="208"/>
      <c r="ODK303" s="208"/>
      <c r="ODL303" s="208"/>
      <c r="ODM303" s="208"/>
      <c r="ODN303" s="208"/>
      <c r="ODO303" s="208"/>
      <c r="ODP303" s="208"/>
      <c r="ODQ303" s="208"/>
      <c r="ODR303" s="208"/>
      <c r="ODS303" s="208"/>
      <c r="ODT303" s="208"/>
      <c r="ODU303" s="208"/>
      <c r="ODV303" s="208"/>
      <c r="ODW303" s="208"/>
      <c r="ODX303" s="208"/>
      <c r="ODY303" s="208"/>
      <c r="ODZ303" s="208"/>
      <c r="OEA303" s="208"/>
      <c r="OEB303" s="208"/>
      <c r="OEC303" s="208"/>
      <c r="OED303" s="208"/>
      <c r="OEE303" s="208"/>
      <c r="OEF303" s="208"/>
      <c r="OEG303" s="208"/>
      <c r="OEH303" s="208"/>
      <c r="OEI303" s="208"/>
      <c r="OEJ303" s="208"/>
      <c r="OEK303" s="208"/>
      <c r="OEL303" s="208"/>
      <c r="OEM303" s="208"/>
      <c r="OEN303" s="208"/>
      <c r="OEO303" s="208"/>
      <c r="OEP303" s="208"/>
      <c r="OEQ303" s="208"/>
      <c r="OER303" s="208"/>
      <c r="OES303" s="208"/>
      <c r="OET303" s="208"/>
      <c r="OEU303" s="208"/>
      <c r="OEV303" s="208"/>
      <c r="OEW303" s="208"/>
      <c r="OEX303" s="208"/>
      <c r="OEY303" s="208"/>
      <c r="OEZ303" s="208"/>
      <c r="OFA303" s="208"/>
      <c r="OFB303" s="208"/>
      <c r="OFC303" s="208"/>
      <c r="OFD303" s="208"/>
      <c r="OFE303" s="208"/>
      <c r="OFF303" s="208"/>
      <c r="OFG303" s="208"/>
      <c r="OFH303" s="208"/>
      <c r="OFI303" s="208"/>
      <c r="OFJ303" s="208"/>
      <c r="OFK303" s="208"/>
      <c r="OFL303" s="208"/>
      <c r="OFM303" s="208"/>
      <c r="OFN303" s="208"/>
      <c r="OFO303" s="208"/>
      <c r="OFP303" s="208"/>
      <c r="OFQ303" s="208"/>
      <c r="OFR303" s="208"/>
      <c r="OFS303" s="208"/>
      <c r="OFT303" s="208"/>
      <c r="OFU303" s="208"/>
      <c r="OFV303" s="208"/>
      <c r="OFW303" s="208"/>
      <c r="OFX303" s="208"/>
      <c r="OFY303" s="208"/>
      <c r="OFZ303" s="208"/>
      <c r="OGA303" s="208"/>
      <c r="OGB303" s="208"/>
      <c r="OGC303" s="208"/>
      <c r="OGD303" s="208"/>
      <c r="OGE303" s="208"/>
      <c r="OGF303" s="208"/>
      <c r="OGG303" s="208"/>
      <c r="OGH303" s="208"/>
      <c r="OGI303" s="208"/>
      <c r="OGJ303" s="208"/>
      <c r="OGK303" s="208"/>
      <c r="OGL303" s="208"/>
      <c r="OGM303" s="208"/>
      <c r="OGN303" s="208"/>
      <c r="OGO303" s="208"/>
      <c r="OGP303" s="208"/>
      <c r="OGQ303" s="208"/>
      <c r="OGR303" s="208"/>
      <c r="OGS303" s="208"/>
      <c r="OGT303" s="208"/>
      <c r="OGU303" s="208"/>
      <c r="OGV303" s="208"/>
      <c r="OGW303" s="208"/>
      <c r="OGX303" s="208"/>
      <c r="OGY303" s="208"/>
      <c r="OGZ303" s="208"/>
      <c r="OHA303" s="208"/>
      <c r="OHB303" s="208"/>
      <c r="OHC303" s="208"/>
      <c r="OHD303" s="208"/>
      <c r="OHE303" s="208"/>
      <c r="OHF303" s="208"/>
      <c r="OHG303" s="208"/>
      <c r="OHH303" s="208"/>
      <c r="OHI303" s="208"/>
      <c r="OHJ303" s="208"/>
      <c r="OHK303" s="208"/>
      <c r="OHL303" s="208"/>
      <c r="OHM303" s="208"/>
      <c r="OHN303" s="208"/>
      <c r="OHO303" s="208"/>
      <c r="OHP303" s="208"/>
      <c r="OHQ303" s="208"/>
      <c r="OHR303" s="208"/>
      <c r="OHS303" s="208"/>
      <c r="OHT303" s="208"/>
      <c r="OHU303" s="208"/>
      <c r="OHV303" s="208"/>
      <c r="OHW303" s="208"/>
      <c r="OHX303" s="208"/>
      <c r="OHY303" s="208"/>
      <c r="OHZ303" s="208"/>
      <c r="OIA303" s="208"/>
      <c r="OIB303" s="208"/>
      <c r="OIC303" s="208"/>
      <c r="OID303" s="208"/>
      <c r="OIE303" s="208"/>
      <c r="OIF303" s="208"/>
      <c r="OIG303" s="208"/>
      <c r="OIH303" s="208"/>
      <c r="OII303" s="208"/>
      <c r="OIJ303" s="208"/>
      <c r="OIK303" s="208"/>
      <c r="OIL303" s="208"/>
      <c r="OIM303" s="208"/>
      <c r="OIN303" s="208"/>
      <c r="OIO303" s="208"/>
      <c r="OIP303" s="208"/>
      <c r="OIQ303" s="208"/>
      <c r="OIR303" s="208"/>
      <c r="OIS303" s="208"/>
      <c r="OIT303" s="208"/>
      <c r="OIU303" s="208"/>
      <c r="OIV303" s="208"/>
      <c r="OIW303" s="208"/>
      <c r="OIX303" s="208"/>
      <c r="OIY303" s="208"/>
      <c r="OIZ303" s="208"/>
      <c r="OJA303" s="208"/>
      <c r="OJB303" s="208"/>
      <c r="OJC303" s="208"/>
      <c r="OJD303" s="208"/>
      <c r="OJE303" s="208"/>
      <c r="OJF303" s="208"/>
      <c r="OJG303" s="208"/>
      <c r="OJH303" s="208"/>
      <c r="OJI303" s="208"/>
      <c r="OJJ303" s="208"/>
      <c r="OJK303" s="208"/>
      <c r="OJL303" s="208"/>
      <c r="OJM303" s="208"/>
      <c r="OJN303" s="208"/>
      <c r="OJO303" s="208"/>
      <c r="OJP303" s="208"/>
      <c r="OJQ303" s="208"/>
      <c r="OJR303" s="208"/>
      <c r="OJS303" s="208"/>
      <c r="OJT303" s="208"/>
      <c r="OJU303" s="208"/>
      <c r="OJV303" s="208"/>
      <c r="OJW303" s="208"/>
      <c r="OJX303" s="208"/>
      <c r="OJY303" s="208"/>
      <c r="OJZ303" s="208"/>
      <c r="OKA303" s="208"/>
      <c r="OKB303" s="208"/>
      <c r="OKC303" s="208"/>
      <c r="OKD303" s="208"/>
      <c r="OKE303" s="208"/>
      <c r="OKF303" s="208"/>
      <c r="OKG303" s="208"/>
      <c r="OKH303" s="208"/>
      <c r="OKI303" s="208"/>
      <c r="OKJ303" s="208"/>
      <c r="OKK303" s="208"/>
      <c r="OKL303" s="208"/>
      <c r="OKM303" s="208"/>
      <c r="OKN303" s="208"/>
      <c r="OKO303" s="208"/>
      <c r="OKP303" s="208"/>
      <c r="OKQ303" s="208"/>
      <c r="OKR303" s="208"/>
      <c r="OKS303" s="208"/>
      <c r="OKT303" s="208"/>
      <c r="OKU303" s="208"/>
      <c r="OKV303" s="208"/>
      <c r="OKW303" s="208"/>
      <c r="OKX303" s="208"/>
      <c r="OKY303" s="208"/>
      <c r="OKZ303" s="208"/>
      <c r="OLA303" s="208"/>
      <c r="OLB303" s="208"/>
      <c r="OLC303" s="208"/>
      <c r="OLD303" s="208"/>
      <c r="OLE303" s="208"/>
      <c r="OLF303" s="208"/>
      <c r="OLG303" s="208"/>
      <c r="OLH303" s="208"/>
      <c r="OLI303" s="208"/>
      <c r="OLJ303" s="208"/>
      <c r="OLK303" s="208"/>
      <c r="OLL303" s="208"/>
      <c r="OLM303" s="208"/>
      <c r="OLN303" s="208"/>
      <c r="OLO303" s="208"/>
      <c r="OLP303" s="208"/>
      <c r="OLQ303" s="208"/>
      <c r="OLR303" s="208"/>
      <c r="OLS303" s="208"/>
      <c r="OLT303" s="208"/>
      <c r="OLU303" s="208"/>
      <c r="OLV303" s="208"/>
      <c r="OLW303" s="208"/>
      <c r="OLX303" s="208"/>
      <c r="OLY303" s="208"/>
      <c r="OLZ303" s="208"/>
      <c r="OMA303" s="208"/>
      <c r="OMB303" s="208"/>
      <c r="OMC303" s="208"/>
      <c r="OMD303" s="208"/>
      <c r="OME303" s="208"/>
      <c r="OMF303" s="208"/>
      <c r="OMG303" s="208"/>
      <c r="OMH303" s="208"/>
      <c r="OMI303" s="208"/>
      <c r="OMJ303" s="208"/>
      <c r="OMK303" s="208"/>
      <c r="OML303" s="208"/>
      <c r="OMM303" s="208"/>
      <c r="OMN303" s="208"/>
      <c r="OMO303" s="208"/>
      <c r="OMP303" s="208"/>
      <c r="OMQ303" s="208"/>
      <c r="OMR303" s="208"/>
      <c r="OMS303" s="208"/>
      <c r="OMT303" s="208"/>
      <c r="OMU303" s="208"/>
      <c r="OMV303" s="208"/>
      <c r="OMW303" s="208"/>
      <c r="OMX303" s="208"/>
      <c r="OMY303" s="208"/>
      <c r="OMZ303" s="208"/>
      <c r="ONA303" s="208"/>
      <c r="ONB303" s="208"/>
      <c r="ONC303" s="208"/>
      <c r="OND303" s="208"/>
      <c r="ONE303" s="208"/>
      <c r="ONF303" s="208"/>
      <c r="ONG303" s="208"/>
      <c r="ONH303" s="208"/>
      <c r="ONI303" s="208"/>
      <c r="ONJ303" s="208"/>
      <c r="ONK303" s="208"/>
      <c r="ONL303" s="208"/>
      <c r="ONM303" s="208"/>
      <c r="ONN303" s="208"/>
      <c r="ONO303" s="208"/>
      <c r="ONP303" s="208"/>
      <c r="ONQ303" s="208"/>
      <c r="ONR303" s="208"/>
      <c r="ONS303" s="208"/>
      <c r="ONT303" s="208"/>
      <c r="ONU303" s="208"/>
      <c r="ONV303" s="208"/>
      <c r="ONW303" s="208"/>
      <c r="ONX303" s="208"/>
      <c r="ONY303" s="208"/>
      <c r="ONZ303" s="208"/>
      <c r="OOA303" s="208"/>
      <c r="OOB303" s="208"/>
      <c r="OOC303" s="208"/>
      <c r="OOD303" s="208"/>
      <c r="OOE303" s="208"/>
      <c r="OOF303" s="208"/>
      <c r="OOG303" s="208"/>
      <c r="OOH303" s="208"/>
      <c r="OOI303" s="208"/>
      <c r="OOJ303" s="208"/>
      <c r="OOK303" s="208"/>
      <c r="OOL303" s="208"/>
      <c r="OOM303" s="208"/>
      <c r="OON303" s="208"/>
      <c r="OOO303" s="208"/>
      <c r="OOP303" s="208"/>
      <c r="OOQ303" s="208"/>
      <c r="OOR303" s="208"/>
      <c r="OOS303" s="208"/>
      <c r="OOT303" s="208"/>
      <c r="OOU303" s="208"/>
      <c r="OOV303" s="208"/>
      <c r="OOW303" s="208"/>
      <c r="OOX303" s="208"/>
      <c r="OOY303" s="208"/>
      <c r="OOZ303" s="208"/>
      <c r="OPA303" s="208"/>
      <c r="OPB303" s="208"/>
      <c r="OPC303" s="208"/>
      <c r="OPD303" s="208"/>
      <c r="OPE303" s="208"/>
      <c r="OPF303" s="208"/>
      <c r="OPG303" s="208"/>
      <c r="OPH303" s="208"/>
      <c r="OPI303" s="208"/>
      <c r="OPJ303" s="208"/>
      <c r="OPK303" s="208"/>
      <c r="OPL303" s="208"/>
      <c r="OPM303" s="208"/>
      <c r="OPN303" s="208"/>
      <c r="OPO303" s="208"/>
      <c r="OPP303" s="208"/>
      <c r="OPQ303" s="208"/>
      <c r="OPR303" s="208"/>
      <c r="OPS303" s="208"/>
      <c r="OPT303" s="208"/>
      <c r="OPU303" s="208"/>
      <c r="OPV303" s="208"/>
      <c r="OPW303" s="208"/>
      <c r="OPX303" s="208"/>
      <c r="OPY303" s="208"/>
      <c r="OPZ303" s="208"/>
      <c r="OQA303" s="208"/>
      <c r="OQB303" s="208"/>
      <c r="OQC303" s="208"/>
      <c r="OQD303" s="208"/>
      <c r="OQE303" s="208"/>
      <c r="OQF303" s="208"/>
      <c r="OQG303" s="208"/>
      <c r="OQH303" s="208"/>
      <c r="OQI303" s="208"/>
      <c r="OQJ303" s="208"/>
      <c r="OQK303" s="208"/>
      <c r="OQL303" s="208"/>
      <c r="OQM303" s="208"/>
      <c r="OQN303" s="208"/>
      <c r="OQO303" s="208"/>
      <c r="OQP303" s="208"/>
      <c r="OQQ303" s="208"/>
      <c r="OQR303" s="208"/>
      <c r="OQS303" s="208"/>
      <c r="OQT303" s="208"/>
      <c r="OQU303" s="208"/>
      <c r="OQV303" s="208"/>
      <c r="OQW303" s="208"/>
      <c r="OQX303" s="208"/>
      <c r="OQY303" s="208"/>
      <c r="OQZ303" s="208"/>
      <c r="ORA303" s="208"/>
      <c r="ORB303" s="208"/>
      <c r="ORC303" s="208"/>
      <c r="ORD303" s="208"/>
      <c r="ORE303" s="208"/>
      <c r="ORF303" s="208"/>
      <c r="ORG303" s="208"/>
      <c r="ORH303" s="208"/>
      <c r="ORI303" s="208"/>
      <c r="ORJ303" s="208"/>
      <c r="ORK303" s="208"/>
      <c r="ORL303" s="208"/>
      <c r="ORM303" s="208"/>
      <c r="ORN303" s="208"/>
      <c r="ORO303" s="208"/>
      <c r="ORP303" s="208"/>
      <c r="ORQ303" s="208"/>
      <c r="ORR303" s="208"/>
      <c r="ORS303" s="208"/>
      <c r="ORT303" s="208"/>
      <c r="ORU303" s="208"/>
      <c r="ORV303" s="208"/>
      <c r="ORW303" s="208"/>
      <c r="ORX303" s="208"/>
      <c r="ORY303" s="208"/>
      <c r="ORZ303" s="208"/>
      <c r="OSA303" s="208"/>
      <c r="OSB303" s="208"/>
      <c r="OSC303" s="208"/>
      <c r="OSD303" s="208"/>
      <c r="OSE303" s="208"/>
      <c r="OSF303" s="208"/>
      <c r="OSG303" s="208"/>
      <c r="OSH303" s="208"/>
      <c r="OSI303" s="208"/>
      <c r="OSJ303" s="208"/>
      <c r="OSK303" s="208"/>
      <c r="OSL303" s="208"/>
      <c r="OSM303" s="208"/>
      <c r="OSN303" s="208"/>
      <c r="OSO303" s="208"/>
      <c r="OSP303" s="208"/>
      <c r="OSQ303" s="208"/>
      <c r="OSR303" s="208"/>
      <c r="OSS303" s="208"/>
      <c r="OST303" s="208"/>
      <c r="OSU303" s="208"/>
      <c r="OSV303" s="208"/>
      <c r="OSW303" s="208"/>
      <c r="OSX303" s="208"/>
      <c r="OSY303" s="208"/>
      <c r="OSZ303" s="208"/>
      <c r="OTA303" s="208"/>
      <c r="OTB303" s="208"/>
      <c r="OTC303" s="208"/>
      <c r="OTD303" s="208"/>
      <c r="OTE303" s="208"/>
      <c r="OTF303" s="208"/>
      <c r="OTG303" s="208"/>
      <c r="OTH303" s="208"/>
      <c r="OTI303" s="208"/>
      <c r="OTJ303" s="208"/>
      <c r="OTK303" s="208"/>
      <c r="OTL303" s="208"/>
      <c r="OTM303" s="208"/>
      <c r="OTN303" s="208"/>
      <c r="OTO303" s="208"/>
      <c r="OTP303" s="208"/>
      <c r="OTQ303" s="208"/>
      <c r="OTR303" s="208"/>
      <c r="OTS303" s="208"/>
      <c r="OTT303" s="208"/>
      <c r="OTU303" s="208"/>
      <c r="OTV303" s="208"/>
      <c r="OTW303" s="208"/>
      <c r="OTX303" s="208"/>
      <c r="OTY303" s="208"/>
      <c r="OTZ303" s="208"/>
      <c r="OUA303" s="208"/>
      <c r="OUB303" s="208"/>
      <c r="OUC303" s="208"/>
      <c r="OUD303" s="208"/>
      <c r="OUE303" s="208"/>
      <c r="OUF303" s="208"/>
      <c r="OUG303" s="208"/>
      <c r="OUH303" s="208"/>
      <c r="OUI303" s="208"/>
      <c r="OUJ303" s="208"/>
      <c r="OUK303" s="208"/>
      <c r="OUL303" s="208"/>
      <c r="OUM303" s="208"/>
      <c r="OUN303" s="208"/>
      <c r="OUO303" s="208"/>
      <c r="OUP303" s="208"/>
      <c r="OUQ303" s="208"/>
      <c r="OUR303" s="208"/>
      <c r="OUS303" s="208"/>
      <c r="OUT303" s="208"/>
      <c r="OUU303" s="208"/>
      <c r="OUV303" s="208"/>
      <c r="OUW303" s="208"/>
      <c r="OUX303" s="208"/>
      <c r="OUY303" s="208"/>
      <c r="OUZ303" s="208"/>
      <c r="OVA303" s="208"/>
      <c r="OVB303" s="208"/>
      <c r="OVC303" s="208"/>
      <c r="OVD303" s="208"/>
      <c r="OVE303" s="208"/>
      <c r="OVF303" s="208"/>
      <c r="OVG303" s="208"/>
      <c r="OVH303" s="208"/>
      <c r="OVI303" s="208"/>
      <c r="OVJ303" s="208"/>
      <c r="OVK303" s="208"/>
      <c r="OVL303" s="208"/>
      <c r="OVM303" s="208"/>
      <c r="OVN303" s="208"/>
      <c r="OVO303" s="208"/>
      <c r="OVP303" s="208"/>
      <c r="OVQ303" s="208"/>
      <c r="OVR303" s="208"/>
      <c r="OVS303" s="208"/>
      <c r="OVT303" s="208"/>
      <c r="OVU303" s="208"/>
      <c r="OVV303" s="208"/>
      <c r="OVW303" s="208"/>
      <c r="OVX303" s="208"/>
      <c r="OVY303" s="208"/>
      <c r="OVZ303" s="208"/>
      <c r="OWA303" s="208"/>
      <c r="OWB303" s="208"/>
      <c r="OWC303" s="208"/>
      <c r="OWD303" s="208"/>
      <c r="OWE303" s="208"/>
      <c r="OWF303" s="208"/>
      <c r="OWG303" s="208"/>
      <c r="OWH303" s="208"/>
      <c r="OWI303" s="208"/>
      <c r="OWJ303" s="208"/>
      <c r="OWK303" s="208"/>
      <c r="OWL303" s="208"/>
      <c r="OWM303" s="208"/>
      <c r="OWN303" s="208"/>
      <c r="OWO303" s="208"/>
      <c r="OWP303" s="208"/>
      <c r="OWQ303" s="208"/>
      <c r="OWR303" s="208"/>
      <c r="OWS303" s="208"/>
      <c r="OWT303" s="208"/>
      <c r="OWU303" s="208"/>
      <c r="OWV303" s="208"/>
      <c r="OWW303" s="208"/>
      <c r="OWX303" s="208"/>
      <c r="OWY303" s="208"/>
      <c r="OWZ303" s="208"/>
      <c r="OXA303" s="208"/>
      <c r="OXB303" s="208"/>
      <c r="OXC303" s="208"/>
      <c r="OXD303" s="208"/>
      <c r="OXE303" s="208"/>
      <c r="OXF303" s="208"/>
      <c r="OXG303" s="208"/>
      <c r="OXH303" s="208"/>
      <c r="OXI303" s="208"/>
      <c r="OXJ303" s="208"/>
      <c r="OXK303" s="208"/>
      <c r="OXL303" s="208"/>
      <c r="OXM303" s="208"/>
      <c r="OXN303" s="208"/>
      <c r="OXO303" s="208"/>
      <c r="OXP303" s="208"/>
      <c r="OXQ303" s="208"/>
      <c r="OXR303" s="208"/>
      <c r="OXS303" s="208"/>
      <c r="OXT303" s="208"/>
      <c r="OXU303" s="208"/>
      <c r="OXV303" s="208"/>
      <c r="OXW303" s="208"/>
      <c r="OXX303" s="208"/>
      <c r="OXY303" s="208"/>
      <c r="OXZ303" s="208"/>
      <c r="OYA303" s="208"/>
      <c r="OYB303" s="208"/>
      <c r="OYC303" s="208"/>
      <c r="OYD303" s="208"/>
      <c r="OYE303" s="208"/>
      <c r="OYF303" s="208"/>
      <c r="OYG303" s="208"/>
      <c r="OYH303" s="208"/>
      <c r="OYI303" s="208"/>
      <c r="OYJ303" s="208"/>
      <c r="OYK303" s="208"/>
      <c r="OYL303" s="208"/>
      <c r="OYM303" s="208"/>
      <c r="OYN303" s="208"/>
      <c r="OYO303" s="208"/>
      <c r="OYP303" s="208"/>
      <c r="OYQ303" s="208"/>
      <c r="OYR303" s="208"/>
      <c r="OYS303" s="208"/>
      <c r="OYT303" s="208"/>
      <c r="OYU303" s="208"/>
      <c r="OYV303" s="208"/>
      <c r="OYW303" s="208"/>
      <c r="OYX303" s="208"/>
      <c r="OYY303" s="208"/>
      <c r="OYZ303" s="208"/>
      <c r="OZA303" s="208"/>
      <c r="OZB303" s="208"/>
      <c r="OZC303" s="208"/>
      <c r="OZD303" s="208"/>
      <c r="OZE303" s="208"/>
      <c r="OZF303" s="208"/>
      <c r="OZG303" s="208"/>
      <c r="OZH303" s="208"/>
      <c r="OZI303" s="208"/>
      <c r="OZJ303" s="208"/>
      <c r="OZK303" s="208"/>
      <c r="OZL303" s="208"/>
      <c r="OZM303" s="208"/>
      <c r="OZN303" s="208"/>
      <c r="OZO303" s="208"/>
      <c r="OZP303" s="208"/>
      <c r="OZQ303" s="208"/>
      <c r="OZR303" s="208"/>
      <c r="OZS303" s="208"/>
      <c r="OZT303" s="208"/>
      <c r="OZU303" s="208"/>
      <c r="OZV303" s="208"/>
      <c r="OZW303" s="208"/>
      <c r="OZX303" s="208"/>
      <c r="OZY303" s="208"/>
      <c r="OZZ303" s="208"/>
      <c r="PAA303" s="208"/>
      <c r="PAB303" s="208"/>
      <c r="PAC303" s="208"/>
      <c r="PAD303" s="208"/>
      <c r="PAE303" s="208"/>
      <c r="PAF303" s="208"/>
      <c r="PAG303" s="208"/>
      <c r="PAH303" s="208"/>
      <c r="PAI303" s="208"/>
      <c r="PAJ303" s="208"/>
      <c r="PAK303" s="208"/>
      <c r="PAL303" s="208"/>
      <c r="PAM303" s="208"/>
      <c r="PAN303" s="208"/>
      <c r="PAO303" s="208"/>
      <c r="PAP303" s="208"/>
      <c r="PAQ303" s="208"/>
      <c r="PAR303" s="208"/>
      <c r="PAS303" s="208"/>
      <c r="PAT303" s="208"/>
      <c r="PAU303" s="208"/>
      <c r="PAV303" s="208"/>
      <c r="PAW303" s="208"/>
      <c r="PAX303" s="208"/>
      <c r="PAY303" s="208"/>
      <c r="PAZ303" s="208"/>
      <c r="PBA303" s="208"/>
      <c r="PBB303" s="208"/>
      <c r="PBC303" s="208"/>
      <c r="PBD303" s="208"/>
      <c r="PBE303" s="208"/>
      <c r="PBF303" s="208"/>
      <c r="PBG303" s="208"/>
      <c r="PBH303" s="208"/>
      <c r="PBI303" s="208"/>
      <c r="PBJ303" s="208"/>
      <c r="PBK303" s="208"/>
      <c r="PBL303" s="208"/>
      <c r="PBM303" s="208"/>
      <c r="PBN303" s="208"/>
      <c r="PBO303" s="208"/>
      <c r="PBP303" s="208"/>
      <c r="PBQ303" s="208"/>
      <c r="PBR303" s="208"/>
      <c r="PBS303" s="208"/>
      <c r="PBT303" s="208"/>
      <c r="PBU303" s="208"/>
      <c r="PBV303" s="208"/>
      <c r="PBW303" s="208"/>
      <c r="PBX303" s="208"/>
      <c r="PBY303" s="208"/>
      <c r="PBZ303" s="208"/>
      <c r="PCA303" s="208"/>
      <c r="PCB303" s="208"/>
      <c r="PCC303" s="208"/>
      <c r="PCD303" s="208"/>
      <c r="PCE303" s="208"/>
      <c r="PCF303" s="208"/>
      <c r="PCG303" s="208"/>
      <c r="PCH303" s="208"/>
      <c r="PCI303" s="208"/>
      <c r="PCJ303" s="208"/>
      <c r="PCK303" s="208"/>
      <c r="PCL303" s="208"/>
      <c r="PCM303" s="208"/>
      <c r="PCN303" s="208"/>
      <c r="PCO303" s="208"/>
      <c r="PCP303" s="208"/>
      <c r="PCQ303" s="208"/>
      <c r="PCR303" s="208"/>
      <c r="PCS303" s="208"/>
      <c r="PCT303" s="208"/>
      <c r="PCU303" s="208"/>
      <c r="PCV303" s="208"/>
      <c r="PCW303" s="208"/>
      <c r="PCX303" s="208"/>
      <c r="PCY303" s="208"/>
      <c r="PCZ303" s="208"/>
      <c r="PDA303" s="208"/>
      <c r="PDB303" s="208"/>
      <c r="PDC303" s="208"/>
      <c r="PDD303" s="208"/>
      <c r="PDE303" s="208"/>
      <c r="PDF303" s="208"/>
      <c r="PDG303" s="208"/>
      <c r="PDH303" s="208"/>
      <c r="PDI303" s="208"/>
      <c r="PDJ303" s="208"/>
      <c r="PDK303" s="208"/>
      <c r="PDL303" s="208"/>
      <c r="PDM303" s="208"/>
      <c r="PDN303" s="208"/>
      <c r="PDO303" s="208"/>
      <c r="PDP303" s="208"/>
      <c r="PDQ303" s="208"/>
      <c r="PDR303" s="208"/>
      <c r="PDS303" s="208"/>
      <c r="PDT303" s="208"/>
      <c r="PDU303" s="208"/>
      <c r="PDV303" s="208"/>
      <c r="PDW303" s="208"/>
      <c r="PDX303" s="208"/>
      <c r="PDY303" s="208"/>
      <c r="PDZ303" s="208"/>
      <c r="PEA303" s="208"/>
      <c r="PEB303" s="208"/>
      <c r="PEC303" s="208"/>
      <c r="PED303" s="208"/>
      <c r="PEE303" s="208"/>
      <c r="PEF303" s="208"/>
      <c r="PEG303" s="208"/>
      <c r="PEH303" s="208"/>
      <c r="PEI303" s="208"/>
      <c r="PEJ303" s="208"/>
      <c r="PEK303" s="208"/>
      <c r="PEL303" s="208"/>
      <c r="PEM303" s="208"/>
      <c r="PEN303" s="208"/>
      <c r="PEO303" s="208"/>
      <c r="PEP303" s="208"/>
      <c r="PEQ303" s="208"/>
      <c r="PER303" s="208"/>
      <c r="PES303" s="208"/>
      <c r="PET303" s="208"/>
      <c r="PEU303" s="208"/>
      <c r="PEV303" s="208"/>
      <c r="PEW303" s="208"/>
      <c r="PEX303" s="208"/>
      <c r="PEY303" s="208"/>
      <c r="PEZ303" s="208"/>
      <c r="PFA303" s="208"/>
      <c r="PFB303" s="208"/>
      <c r="PFC303" s="208"/>
      <c r="PFD303" s="208"/>
      <c r="PFE303" s="208"/>
      <c r="PFF303" s="208"/>
      <c r="PFG303" s="208"/>
      <c r="PFH303" s="208"/>
      <c r="PFI303" s="208"/>
      <c r="PFJ303" s="208"/>
      <c r="PFK303" s="208"/>
      <c r="PFL303" s="208"/>
      <c r="PFM303" s="208"/>
      <c r="PFN303" s="208"/>
      <c r="PFO303" s="208"/>
      <c r="PFP303" s="208"/>
      <c r="PFQ303" s="208"/>
      <c r="PFR303" s="208"/>
      <c r="PFS303" s="208"/>
      <c r="PFT303" s="208"/>
      <c r="PFU303" s="208"/>
      <c r="PFV303" s="208"/>
      <c r="PFW303" s="208"/>
      <c r="PFX303" s="208"/>
      <c r="PFY303" s="208"/>
      <c r="PFZ303" s="208"/>
      <c r="PGA303" s="208"/>
      <c r="PGB303" s="208"/>
      <c r="PGC303" s="208"/>
      <c r="PGD303" s="208"/>
      <c r="PGE303" s="208"/>
      <c r="PGF303" s="208"/>
      <c r="PGG303" s="208"/>
      <c r="PGH303" s="208"/>
      <c r="PGI303" s="208"/>
      <c r="PGJ303" s="208"/>
      <c r="PGK303" s="208"/>
      <c r="PGL303" s="208"/>
      <c r="PGM303" s="208"/>
      <c r="PGN303" s="208"/>
      <c r="PGO303" s="208"/>
      <c r="PGP303" s="208"/>
      <c r="PGQ303" s="208"/>
      <c r="PGR303" s="208"/>
      <c r="PGS303" s="208"/>
      <c r="PGT303" s="208"/>
      <c r="PGU303" s="208"/>
      <c r="PGV303" s="208"/>
      <c r="PGW303" s="208"/>
      <c r="PGX303" s="208"/>
      <c r="PGY303" s="208"/>
      <c r="PGZ303" s="208"/>
      <c r="PHA303" s="208"/>
      <c r="PHB303" s="208"/>
      <c r="PHC303" s="208"/>
      <c r="PHD303" s="208"/>
      <c r="PHE303" s="208"/>
      <c r="PHF303" s="208"/>
      <c r="PHG303" s="208"/>
      <c r="PHH303" s="208"/>
      <c r="PHI303" s="208"/>
      <c r="PHJ303" s="208"/>
      <c r="PHK303" s="208"/>
      <c r="PHL303" s="208"/>
      <c r="PHM303" s="208"/>
      <c r="PHN303" s="208"/>
      <c r="PHO303" s="208"/>
      <c r="PHP303" s="208"/>
      <c r="PHQ303" s="208"/>
      <c r="PHR303" s="208"/>
      <c r="PHS303" s="208"/>
      <c r="PHT303" s="208"/>
      <c r="PHU303" s="208"/>
      <c r="PHV303" s="208"/>
      <c r="PHW303" s="208"/>
      <c r="PHX303" s="208"/>
      <c r="PHY303" s="208"/>
      <c r="PHZ303" s="208"/>
      <c r="PIA303" s="208"/>
      <c r="PIB303" s="208"/>
      <c r="PIC303" s="208"/>
      <c r="PID303" s="208"/>
      <c r="PIE303" s="208"/>
      <c r="PIF303" s="208"/>
      <c r="PIG303" s="208"/>
      <c r="PIH303" s="208"/>
      <c r="PII303" s="208"/>
      <c r="PIJ303" s="208"/>
      <c r="PIK303" s="208"/>
      <c r="PIL303" s="208"/>
      <c r="PIM303" s="208"/>
      <c r="PIN303" s="208"/>
      <c r="PIO303" s="208"/>
      <c r="PIP303" s="208"/>
      <c r="PIQ303" s="208"/>
      <c r="PIR303" s="208"/>
      <c r="PIS303" s="208"/>
      <c r="PIT303" s="208"/>
      <c r="PIU303" s="208"/>
      <c r="PIV303" s="208"/>
      <c r="PIW303" s="208"/>
      <c r="PIX303" s="208"/>
      <c r="PIY303" s="208"/>
      <c r="PIZ303" s="208"/>
      <c r="PJA303" s="208"/>
      <c r="PJB303" s="208"/>
      <c r="PJC303" s="208"/>
      <c r="PJD303" s="208"/>
      <c r="PJE303" s="208"/>
      <c r="PJF303" s="208"/>
      <c r="PJG303" s="208"/>
      <c r="PJH303" s="208"/>
      <c r="PJI303" s="208"/>
      <c r="PJJ303" s="208"/>
      <c r="PJK303" s="208"/>
      <c r="PJL303" s="208"/>
      <c r="PJM303" s="208"/>
      <c r="PJN303" s="208"/>
      <c r="PJO303" s="208"/>
      <c r="PJP303" s="208"/>
      <c r="PJQ303" s="208"/>
      <c r="PJR303" s="208"/>
      <c r="PJS303" s="208"/>
      <c r="PJT303" s="208"/>
      <c r="PJU303" s="208"/>
      <c r="PJV303" s="208"/>
      <c r="PJW303" s="208"/>
      <c r="PJX303" s="208"/>
      <c r="PJY303" s="208"/>
      <c r="PJZ303" s="208"/>
      <c r="PKA303" s="208"/>
      <c r="PKB303" s="208"/>
      <c r="PKC303" s="208"/>
      <c r="PKD303" s="208"/>
      <c r="PKE303" s="208"/>
      <c r="PKF303" s="208"/>
      <c r="PKG303" s="208"/>
      <c r="PKH303" s="208"/>
      <c r="PKI303" s="208"/>
      <c r="PKJ303" s="208"/>
      <c r="PKK303" s="208"/>
      <c r="PKL303" s="208"/>
      <c r="PKM303" s="208"/>
      <c r="PKN303" s="208"/>
      <c r="PKO303" s="208"/>
      <c r="PKP303" s="208"/>
      <c r="PKQ303" s="208"/>
      <c r="PKR303" s="208"/>
      <c r="PKS303" s="208"/>
      <c r="PKT303" s="208"/>
      <c r="PKU303" s="208"/>
      <c r="PKV303" s="208"/>
      <c r="PKW303" s="208"/>
      <c r="PKX303" s="208"/>
      <c r="PKY303" s="208"/>
      <c r="PKZ303" s="208"/>
      <c r="PLA303" s="208"/>
      <c r="PLB303" s="208"/>
      <c r="PLC303" s="208"/>
      <c r="PLD303" s="208"/>
      <c r="PLE303" s="208"/>
      <c r="PLF303" s="208"/>
      <c r="PLG303" s="208"/>
      <c r="PLH303" s="208"/>
      <c r="PLI303" s="208"/>
      <c r="PLJ303" s="208"/>
      <c r="PLK303" s="208"/>
      <c r="PLL303" s="208"/>
      <c r="PLM303" s="208"/>
      <c r="PLN303" s="208"/>
      <c r="PLO303" s="208"/>
      <c r="PLP303" s="208"/>
      <c r="PLQ303" s="208"/>
      <c r="PLR303" s="208"/>
      <c r="PLS303" s="208"/>
      <c r="PLT303" s="208"/>
      <c r="PLU303" s="208"/>
      <c r="PLV303" s="208"/>
      <c r="PLW303" s="208"/>
      <c r="PLX303" s="208"/>
      <c r="PLY303" s="208"/>
      <c r="PLZ303" s="208"/>
      <c r="PMA303" s="208"/>
      <c r="PMB303" s="208"/>
      <c r="PMC303" s="208"/>
      <c r="PMD303" s="208"/>
      <c r="PME303" s="208"/>
      <c r="PMF303" s="208"/>
      <c r="PMG303" s="208"/>
      <c r="PMH303" s="208"/>
      <c r="PMI303" s="208"/>
      <c r="PMJ303" s="208"/>
      <c r="PMK303" s="208"/>
      <c r="PML303" s="208"/>
      <c r="PMM303" s="208"/>
      <c r="PMN303" s="208"/>
      <c r="PMO303" s="208"/>
      <c r="PMP303" s="208"/>
      <c r="PMQ303" s="208"/>
      <c r="PMR303" s="208"/>
      <c r="PMS303" s="208"/>
      <c r="PMT303" s="208"/>
      <c r="PMU303" s="208"/>
      <c r="PMV303" s="208"/>
      <c r="PMW303" s="208"/>
      <c r="PMX303" s="208"/>
      <c r="PMY303" s="208"/>
      <c r="PMZ303" s="208"/>
      <c r="PNA303" s="208"/>
      <c r="PNB303" s="208"/>
      <c r="PNC303" s="208"/>
      <c r="PND303" s="208"/>
      <c r="PNE303" s="208"/>
      <c r="PNF303" s="208"/>
      <c r="PNG303" s="208"/>
      <c r="PNH303" s="208"/>
      <c r="PNI303" s="208"/>
      <c r="PNJ303" s="208"/>
      <c r="PNK303" s="208"/>
      <c r="PNL303" s="208"/>
      <c r="PNM303" s="208"/>
      <c r="PNN303" s="208"/>
      <c r="PNO303" s="208"/>
      <c r="PNP303" s="208"/>
      <c r="PNQ303" s="208"/>
      <c r="PNR303" s="208"/>
      <c r="PNS303" s="208"/>
      <c r="PNT303" s="208"/>
      <c r="PNU303" s="208"/>
      <c r="PNV303" s="208"/>
      <c r="PNW303" s="208"/>
      <c r="PNX303" s="208"/>
      <c r="PNY303" s="208"/>
      <c r="PNZ303" s="208"/>
      <c r="POA303" s="208"/>
      <c r="POB303" s="208"/>
      <c r="POC303" s="208"/>
      <c r="POD303" s="208"/>
      <c r="POE303" s="208"/>
      <c r="POF303" s="208"/>
      <c r="POG303" s="208"/>
      <c r="POH303" s="208"/>
      <c r="POI303" s="208"/>
      <c r="POJ303" s="208"/>
      <c r="POK303" s="208"/>
      <c r="POL303" s="208"/>
      <c r="POM303" s="208"/>
      <c r="PON303" s="208"/>
      <c r="POO303" s="208"/>
      <c r="POP303" s="208"/>
      <c r="POQ303" s="208"/>
      <c r="POR303" s="208"/>
      <c r="POS303" s="208"/>
      <c r="POT303" s="208"/>
      <c r="POU303" s="208"/>
      <c r="POV303" s="208"/>
      <c r="POW303" s="208"/>
      <c r="POX303" s="208"/>
      <c r="POY303" s="208"/>
      <c r="POZ303" s="208"/>
      <c r="PPA303" s="208"/>
      <c r="PPB303" s="208"/>
      <c r="PPC303" s="208"/>
      <c r="PPD303" s="208"/>
      <c r="PPE303" s="208"/>
      <c r="PPF303" s="208"/>
      <c r="PPG303" s="208"/>
      <c r="PPH303" s="208"/>
      <c r="PPI303" s="208"/>
      <c r="PPJ303" s="208"/>
      <c r="PPK303" s="208"/>
      <c r="PPL303" s="208"/>
      <c r="PPM303" s="208"/>
      <c r="PPN303" s="208"/>
      <c r="PPO303" s="208"/>
      <c r="PPP303" s="208"/>
      <c r="PPQ303" s="208"/>
      <c r="PPR303" s="208"/>
      <c r="PPS303" s="208"/>
      <c r="PPT303" s="208"/>
      <c r="PPU303" s="208"/>
      <c r="PPV303" s="208"/>
      <c r="PPW303" s="208"/>
      <c r="PPX303" s="208"/>
      <c r="PPY303" s="208"/>
      <c r="PPZ303" s="208"/>
      <c r="PQA303" s="208"/>
      <c r="PQB303" s="208"/>
      <c r="PQC303" s="208"/>
      <c r="PQD303" s="208"/>
      <c r="PQE303" s="208"/>
      <c r="PQF303" s="208"/>
      <c r="PQG303" s="208"/>
      <c r="PQH303" s="208"/>
      <c r="PQI303" s="208"/>
      <c r="PQJ303" s="208"/>
      <c r="PQK303" s="208"/>
      <c r="PQL303" s="208"/>
      <c r="PQM303" s="208"/>
      <c r="PQN303" s="208"/>
      <c r="PQO303" s="208"/>
      <c r="PQP303" s="208"/>
      <c r="PQQ303" s="208"/>
      <c r="PQR303" s="208"/>
      <c r="PQS303" s="208"/>
      <c r="PQT303" s="208"/>
      <c r="PQU303" s="208"/>
      <c r="PQV303" s="208"/>
      <c r="PQW303" s="208"/>
      <c r="PQX303" s="208"/>
      <c r="PQY303" s="208"/>
      <c r="PQZ303" s="208"/>
      <c r="PRA303" s="208"/>
      <c r="PRB303" s="208"/>
      <c r="PRC303" s="208"/>
      <c r="PRD303" s="208"/>
      <c r="PRE303" s="208"/>
      <c r="PRF303" s="208"/>
      <c r="PRG303" s="208"/>
      <c r="PRH303" s="208"/>
      <c r="PRI303" s="208"/>
      <c r="PRJ303" s="208"/>
      <c r="PRK303" s="208"/>
      <c r="PRL303" s="208"/>
      <c r="PRM303" s="208"/>
      <c r="PRN303" s="208"/>
      <c r="PRO303" s="208"/>
      <c r="PRP303" s="208"/>
      <c r="PRQ303" s="208"/>
      <c r="PRR303" s="208"/>
      <c r="PRS303" s="208"/>
      <c r="PRT303" s="208"/>
      <c r="PRU303" s="208"/>
      <c r="PRV303" s="208"/>
      <c r="PRW303" s="208"/>
      <c r="PRX303" s="208"/>
      <c r="PRY303" s="208"/>
      <c r="PRZ303" s="208"/>
      <c r="PSA303" s="208"/>
      <c r="PSB303" s="208"/>
      <c r="PSC303" s="208"/>
      <c r="PSD303" s="208"/>
      <c r="PSE303" s="208"/>
      <c r="PSF303" s="208"/>
      <c r="PSG303" s="208"/>
      <c r="PSH303" s="208"/>
      <c r="PSI303" s="208"/>
      <c r="PSJ303" s="208"/>
      <c r="PSK303" s="208"/>
      <c r="PSL303" s="208"/>
      <c r="PSM303" s="208"/>
      <c r="PSN303" s="208"/>
      <c r="PSO303" s="208"/>
      <c r="PSP303" s="208"/>
      <c r="PSQ303" s="208"/>
      <c r="PSR303" s="208"/>
      <c r="PSS303" s="208"/>
      <c r="PST303" s="208"/>
      <c r="PSU303" s="208"/>
      <c r="PSV303" s="208"/>
      <c r="PSW303" s="208"/>
      <c r="PSX303" s="208"/>
      <c r="PSY303" s="208"/>
      <c r="PSZ303" s="208"/>
      <c r="PTA303" s="208"/>
      <c r="PTB303" s="208"/>
      <c r="PTC303" s="208"/>
      <c r="PTD303" s="208"/>
      <c r="PTE303" s="208"/>
      <c r="PTF303" s="208"/>
      <c r="PTG303" s="208"/>
      <c r="PTH303" s="208"/>
      <c r="PTI303" s="208"/>
      <c r="PTJ303" s="208"/>
      <c r="PTK303" s="208"/>
      <c r="PTL303" s="208"/>
      <c r="PTM303" s="208"/>
      <c r="PTN303" s="208"/>
      <c r="PTO303" s="208"/>
      <c r="PTP303" s="208"/>
      <c r="PTQ303" s="208"/>
      <c r="PTR303" s="208"/>
      <c r="PTS303" s="208"/>
      <c r="PTT303" s="208"/>
      <c r="PTU303" s="208"/>
      <c r="PTV303" s="208"/>
      <c r="PTW303" s="208"/>
      <c r="PTX303" s="208"/>
      <c r="PTY303" s="208"/>
      <c r="PTZ303" s="208"/>
      <c r="PUA303" s="208"/>
      <c r="PUB303" s="208"/>
      <c r="PUC303" s="208"/>
      <c r="PUD303" s="208"/>
      <c r="PUE303" s="208"/>
      <c r="PUF303" s="208"/>
      <c r="PUG303" s="208"/>
      <c r="PUH303" s="208"/>
      <c r="PUI303" s="208"/>
      <c r="PUJ303" s="208"/>
      <c r="PUK303" s="208"/>
      <c r="PUL303" s="208"/>
      <c r="PUM303" s="208"/>
      <c r="PUN303" s="208"/>
      <c r="PUO303" s="208"/>
      <c r="PUP303" s="208"/>
      <c r="PUQ303" s="208"/>
      <c r="PUR303" s="208"/>
      <c r="PUS303" s="208"/>
      <c r="PUT303" s="208"/>
      <c r="PUU303" s="208"/>
      <c r="PUV303" s="208"/>
      <c r="PUW303" s="208"/>
      <c r="PUX303" s="208"/>
      <c r="PUY303" s="208"/>
      <c r="PUZ303" s="208"/>
      <c r="PVA303" s="208"/>
      <c r="PVB303" s="208"/>
      <c r="PVC303" s="208"/>
      <c r="PVD303" s="208"/>
      <c r="PVE303" s="208"/>
      <c r="PVF303" s="208"/>
      <c r="PVG303" s="208"/>
      <c r="PVH303" s="208"/>
      <c r="PVI303" s="208"/>
      <c r="PVJ303" s="208"/>
      <c r="PVK303" s="208"/>
      <c r="PVL303" s="208"/>
      <c r="PVM303" s="208"/>
      <c r="PVN303" s="208"/>
      <c r="PVO303" s="208"/>
      <c r="PVP303" s="208"/>
      <c r="PVQ303" s="208"/>
      <c r="PVR303" s="208"/>
      <c r="PVS303" s="208"/>
      <c r="PVT303" s="208"/>
      <c r="PVU303" s="208"/>
      <c r="PVV303" s="208"/>
      <c r="PVW303" s="208"/>
      <c r="PVX303" s="208"/>
      <c r="PVY303" s="208"/>
      <c r="PVZ303" s="208"/>
      <c r="PWA303" s="208"/>
      <c r="PWB303" s="208"/>
      <c r="PWC303" s="208"/>
      <c r="PWD303" s="208"/>
      <c r="PWE303" s="208"/>
      <c r="PWF303" s="208"/>
      <c r="PWG303" s="208"/>
      <c r="PWH303" s="208"/>
      <c r="PWI303" s="208"/>
      <c r="PWJ303" s="208"/>
      <c r="PWK303" s="208"/>
      <c r="PWL303" s="208"/>
      <c r="PWM303" s="208"/>
      <c r="PWN303" s="208"/>
      <c r="PWO303" s="208"/>
      <c r="PWP303" s="208"/>
      <c r="PWQ303" s="208"/>
      <c r="PWR303" s="208"/>
      <c r="PWS303" s="208"/>
      <c r="PWT303" s="208"/>
      <c r="PWU303" s="208"/>
      <c r="PWV303" s="208"/>
      <c r="PWW303" s="208"/>
      <c r="PWX303" s="208"/>
      <c r="PWY303" s="208"/>
      <c r="PWZ303" s="208"/>
      <c r="PXA303" s="208"/>
      <c r="PXB303" s="208"/>
      <c r="PXC303" s="208"/>
      <c r="PXD303" s="208"/>
      <c r="PXE303" s="208"/>
      <c r="PXF303" s="208"/>
      <c r="PXG303" s="208"/>
      <c r="PXH303" s="208"/>
      <c r="PXI303" s="208"/>
      <c r="PXJ303" s="208"/>
      <c r="PXK303" s="208"/>
      <c r="PXL303" s="208"/>
      <c r="PXM303" s="208"/>
      <c r="PXN303" s="208"/>
      <c r="PXO303" s="208"/>
      <c r="PXP303" s="208"/>
      <c r="PXQ303" s="208"/>
      <c r="PXR303" s="208"/>
      <c r="PXS303" s="208"/>
      <c r="PXT303" s="208"/>
      <c r="PXU303" s="208"/>
      <c r="PXV303" s="208"/>
      <c r="PXW303" s="208"/>
      <c r="PXX303" s="208"/>
      <c r="PXY303" s="208"/>
      <c r="PXZ303" s="208"/>
      <c r="PYA303" s="208"/>
      <c r="PYB303" s="208"/>
      <c r="PYC303" s="208"/>
      <c r="PYD303" s="208"/>
      <c r="PYE303" s="208"/>
      <c r="PYF303" s="208"/>
      <c r="PYG303" s="208"/>
      <c r="PYH303" s="208"/>
      <c r="PYI303" s="208"/>
      <c r="PYJ303" s="208"/>
      <c r="PYK303" s="208"/>
      <c r="PYL303" s="208"/>
      <c r="PYM303" s="208"/>
      <c r="PYN303" s="208"/>
      <c r="PYO303" s="208"/>
      <c r="PYP303" s="208"/>
      <c r="PYQ303" s="208"/>
      <c r="PYR303" s="208"/>
      <c r="PYS303" s="208"/>
      <c r="PYT303" s="208"/>
      <c r="PYU303" s="208"/>
      <c r="PYV303" s="208"/>
      <c r="PYW303" s="208"/>
      <c r="PYX303" s="208"/>
      <c r="PYY303" s="208"/>
      <c r="PYZ303" s="208"/>
      <c r="PZA303" s="208"/>
      <c r="PZB303" s="208"/>
      <c r="PZC303" s="208"/>
      <c r="PZD303" s="208"/>
      <c r="PZE303" s="208"/>
      <c r="PZF303" s="208"/>
      <c r="PZG303" s="208"/>
      <c r="PZH303" s="208"/>
      <c r="PZI303" s="208"/>
      <c r="PZJ303" s="208"/>
      <c r="PZK303" s="208"/>
      <c r="PZL303" s="208"/>
      <c r="PZM303" s="208"/>
      <c r="PZN303" s="208"/>
      <c r="PZO303" s="208"/>
      <c r="PZP303" s="208"/>
      <c r="PZQ303" s="208"/>
      <c r="PZR303" s="208"/>
      <c r="PZS303" s="208"/>
      <c r="PZT303" s="208"/>
      <c r="PZU303" s="208"/>
      <c r="PZV303" s="208"/>
      <c r="PZW303" s="208"/>
      <c r="PZX303" s="208"/>
      <c r="PZY303" s="208"/>
      <c r="PZZ303" s="208"/>
      <c r="QAA303" s="208"/>
      <c r="QAB303" s="208"/>
      <c r="QAC303" s="208"/>
      <c r="QAD303" s="208"/>
      <c r="QAE303" s="208"/>
      <c r="QAF303" s="208"/>
      <c r="QAG303" s="208"/>
      <c r="QAH303" s="208"/>
      <c r="QAI303" s="208"/>
      <c r="QAJ303" s="208"/>
      <c r="QAK303" s="208"/>
      <c r="QAL303" s="208"/>
      <c r="QAM303" s="208"/>
      <c r="QAN303" s="208"/>
      <c r="QAO303" s="208"/>
      <c r="QAP303" s="208"/>
      <c r="QAQ303" s="208"/>
      <c r="QAR303" s="208"/>
      <c r="QAS303" s="208"/>
      <c r="QAT303" s="208"/>
      <c r="QAU303" s="208"/>
      <c r="QAV303" s="208"/>
      <c r="QAW303" s="208"/>
      <c r="QAX303" s="208"/>
      <c r="QAY303" s="208"/>
      <c r="QAZ303" s="208"/>
      <c r="QBA303" s="208"/>
      <c r="QBB303" s="208"/>
      <c r="QBC303" s="208"/>
      <c r="QBD303" s="208"/>
      <c r="QBE303" s="208"/>
      <c r="QBF303" s="208"/>
      <c r="QBG303" s="208"/>
      <c r="QBH303" s="208"/>
      <c r="QBI303" s="208"/>
      <c r="QBJ303" s="208"/>
      <c r="QBK303" s="208"/>
      <c r="QBL303" s="208"/>
      <c r="QBM303" s="208"/>
      <c r="QBN303" s="208"/>
      <c r="QBO303" s="208"/>
      <c r="QBP303" s="208"/>
      <c r="QBQ303" s="208"/>
      <c r="QBR303" s="208"/>
      <c r="QBS303" s="208"/>
      <c r="QBT303" s="208"/>
      <c r="QBU303" s="208"/>
      <c r="QBV303" s="208"/>
      <c r="QBW303" s="208"/>
      <c r="QBX303" s="208"/>
      <c r="QBY303" s="208"/>
      <c r="QBZ303" s="208"/>
      <c r="QCA303" s="208"/>
      <c r="QCB303" s="208"/>
      <c r="QCC303" s="208"/>
      <c r="QCD303" s="208"/>
      <c r="QCE303" s="208"/>
      <c r="QCF303" s="208"/>
      <c r="QCG303" s="208"/>
      <c r="QCH303" s="208"/>
      <c r="QCI303" s="208"/>
      <c r="QCJ303" s="208"/>
      <c r="QCK303" s="208"/>
      <c r="QCL303" s="208"/>
      <c r="QCM303" s="208"/>
      <c r="QCN303" s="208"/>
      <c r="QCO303" s="208"/>
      <c r="QCP303" s="208"/>
      <c r="QCQ303" s="208"/>
      <c r="QCR303" s="208"/>
      <c r="QCS303" s="208"/>
      <c r="QCT303" s="208"/>
      <c r="QCU303" s="208"/>
      <c r="QCV303" s="208"/>
      <c r="QCW303" s="208"/>
      <c r="QCX303" s="208"/>
      <c r="QCY303" s="208"/>
      <c r="QCZ303" s="208"/>
      <c r="QDA303" s="208"/>
      <c r="QDB303" s="208"/>
      <c r="QDC303" s="208"/>
      <c r="QDD303" s="208"/>
      <c r="QDE303" s="208"/>
      <c r="QDF303" s="208"/>
      <c r="QDG303" s="208"/>
      <c r="QDH303" s="208"/>
      <c r="QDI303" s="208"/>
      <c r="QDJ303" s="208"/>
      <c r="QDK303" s="208"/>
      <c r="QDL303" s="208"/>
      <c r="QDM303" s="208"/>
      <c r="QDN303" s="208"/>
      <c r="QDO303" s="208"/>
      <c r="QDP303" s="208"/>
      <c r="QDQ303" s="208"/>
      <c r="QDR303" s="208"/>
      <c r="QDS303" s="208"/>
      <c r="QDT303" s="208"/>
      <c r="QDU303" s="208"/>
      <c r="QDV303" s="208"/>
      <c r="QDW303" s="208"/>
      <c r="QDX303" s="208"/>
      <c r="QDY303" s="208"/>
      <c r="QDZ303" s="208"/>
      <c r="QEA303" s="208"/>
      <c r="QEB303" s="208"/>
      <c r="QEC303" s="208"/>
      <c r="QED303" s="208"/>
      <c r="QEE303" s="208"/>
      <c r="QEF303" s="208"/>
      <c r="QEG303" s="208"/>
      <c r="QEH303" s="208"/>
      <c r="QEI303" s="208"/>
      <c r="QEJ303" s="208"/>
      <c r="QEK303" s="208"/>
      <c r="QEL303" s="208"/>
      <c r="QEM303" s="208"/>
      <c r="QEN303" s="208"/>
      <c r="QEO303" s="208"/>
      <c r="QEP303" s="208"/>
      <c r="QEQ303" s="208"/>
      <c r="QER303" s="208"/>
      <c r="QES303" s="208"/>
      <c r="QET303" s="208"/>
      <c r="QEU303" s="208"/>
      <c r="QEV303" s="208"/>
      <c r="QEW303" s="208"/>
      <c r="QEX303" s="208"/>
      <c r="QEY303" s="208"/>
      <c r="QEZ303" s="208"/>
      <c r="QFA303" s="208"/>
      <c r="QFB303" s="208"/>
      <c r="QFC303" s="208"/>
      <c r="QFD303" s="208"/>
      <c r="QFE303" s="208"/>
      <c r="QFF303" s="208"/>
      <c r="QFG303" s="208"/>
      <c r="QFH303" s="208"/>
      <c r="QFI303" s="208"/>
      <c r="QFJ303" s="208"/>
      <c r="QFK303" s="208"/>
      <c r="QFL303" s="208"/>
      <c r="QFM303" s="208"/>
      <c r="QFN303" s="208"/>
      <c r="QFO303" s="208"/>
      <c r="QFP303" s="208"/>
      <c r="QFQ303" s="208"/>
      <c r="QFR303" s="208"/>
      <c r="QFS303" s="208"/>
      <c r="QFT303" s="208"/>
      <c r="QFU303" s="208"/>
      <c r="QFV303" s="208"/>
      <c r="QFW303" s="208"/>
      <c r="QFX303" s="208"/>
      <c r="QFY303" s="208"/>
      <c r="QFZ303" s="208"/>
      <c r="QGA303" s="208"/>
      <c r="QGB303" s="208"/>
      <c r="QGC303" s="208"/>
      <c r="QGD303" s="208"/>
      <c r="QGE303" s="208"/>
      <c r="QGF303" s="208"/>
      <c r="QGG303" s="208"/>
      <c r="QGH303" s="208"/>
      <c r="QGI303" s="208"/>
      <c r="QGJ303" s="208"/>
      <c r="QGK303" s="208"/>
      <c r="QGL303" s="208"/>
      <c r="QGM303" s="208"/>
      <c r="QGN303" s="208"/>
      <c r="QGO303" s="208"/>
      <c r="QGP303" s="208"/>
      <c r="QGQ303" s="208"/>
      <c r="QGR303" s="208"/>
      <c r="QGS303" s="208"/>
      <c r="QGT303" s="208"/>
      <c r="QGU303" s="208"/>
      <c r="QGV303" s="208"/>
      <c r="QGW303" s="208"/>
      <c r="QGX303" s="208"/>
      <c r="QGY303" s="208"/>
      <c r="QGZ303" s="208"/>
      <c r="QHA303" s="208"/>
      <c r="QHB303" s="208"/>
      <c r="QHC303" s="208"/>
      <c r="QHD303" s="208"/>
      <c r="QHE303" s="208"/>
      <c r="QHF303" s="208"/>
      <c r="QHG303" s="208"/>
      <c r="QHH303" s="208"/>
      <c r="QHI303" s="208"/>
      <c r="QHJ303" s="208"/>
      <c r="QHK303" s="208"/>
      <c r="QHL303" s="208"/>
      <c r="QHM303" s="208"/>
      <c r="QHN303" s="208"/>
      <c r="QHO303" s="208"/>
      <c r="QHP303" s="208"/>
      <c r="QHQ303" s="208"/>
      <c r="QHR303" s="208"/>
      <c r="QHS303" s="208"/>
      <c r="QHT303" s="208"/>
      <c r="QHU303" s="208"/>
      <c r="QHV303" s="208"/>
      <c r="QHW303" s="208"/>
      <c r="QHX303" s="208"/>
      <c r="QHY303" s="208"/>
      <c r="QHZ303" s="208"/>
      <c r="QIA303" s="208"/>
      <c r="QIB303" s="208"/>
      <c r="QIC303" s="208"/>
      <c r="QID303" s="208"/>
      <c r="QIE303" s="208"/>
      <c r="QIF303" s="208"/>
      <c r="QIG303" s="208"/>
      <c r="QIH303" s="208"/>
      <c r="QII303" s="208"/>
      <c r="QIJ303" s="208"/>
      <c r="QIK303" s="208"/>
      <c r="QIL303" s="208"/>
      <c r="QIM303" s="208"/>
      <c r="QIN303" s="208"/>
      <c r="QIO303" s="208"/>
      <c r="QIP303" s="208"/>
      <c r="QIQ303" s="208"/>
      <c r="QIR303" s="208"/>
      <c r="QIS303" s="208"/>
      <c r="QIT303" s="208"/>
      <c r="QIU303" s="208"/>
      <c r="QIV303" s="208"/>
      <c r="QIW303" s="208"/>
      <c r="QIX303" s="208"/>
      <c r="QIY303" s="208"/>
      <c r="QIZ303" s="208"/>
      <c r="QJA303" s="208"/>
      <c r="QJB303" s="208"/>
      <c r="QJC303" s="208"/>
      <c r="QJD303" s="208"/>
      <c r="QJE303" s="208"/>
      <c r="QJF303" s="208"/>
      <c r="QJG303" s="208"/>
      <c r="QJH303" s="208"/>
      <c r="QJI303" s="208"/>
      <c r="QJJ303" s="208"/>
      <c r="QJK303" s="208"/>
      <c r="QJL303" s="208"/>
      <c r="QJM303" s="208"/>
      <c r="QJN303" s="208"/>
      <c r="QJO303" s="208"/>
      <c r="QJP303" s="208"/>
      <c r="QJQ303" s="208"/>
      <c r="QJR303" s="208"/>
      <c r="QJS303" s="208"/>
      <c r="QJT303" s="208"/>
      <c r="QJU303" s="208"/>
      <c r="QJV303" s="208"/>
      <c r="QJW303" s="208"/>
      <c r="QJX303" s="208"/>
      <c r="QJY303" s="208"/>
      <c r="QJZ303" s="208"/>
      <c r="QKA303" s="208"/>
      <c r="QKB303" s="208"/>
      <c r="QKC303" s="208"/>
      <c r="QKD303" s="208"/>
      <c r="QKE303" s="208"/>
      <c r="QKF303" s="208"/>
      <c r="QKG303" s="208"/>
      <c r="QKH303" s="208"/>
      <c r="QKI303" s="208"/>
      <c r="QKJ303" s="208"/>
      <c r="QKK303" s="208"/>
      <c r="QKL303" s="208"/>
      <c r="QKM303" s="208"/>
      <c r="QKN303" s="208"/>
      <c r="QKO303" s="208"/>
      <c r="QKP303" s="208"/>
      <c r="QKQ303" s="208"/>
      <c r="QKR303" s="208"/>
      <c r="QKS303" s="208"/>
      <c r="QKT303" s="208"/>
      <c r="QKU303" s="208"/>
      <c r="QKV303" s="208"/>
      <c r="QKW303" s="208"/>
      <c r="QKX303" s="208"/>
      <c r="QKY303" s="208"/>
      <c r="QKZ303" s="208"/>
      <c r="QLA303" s="208"/>
      <c r="QLB303" s="208"/>
      <c r="QLC303" s="208"/>
      <c r="QLD303" s="208"/>
      <c r="QLE303" s="208"/>
      <c r="QLF303" s="208"/>
      <c r="QLG303" s="208"/>
      <c r="QLH303" s="208"/>
      <c r="QLI303" s="208"/>
      <c r="QLJ303" s="208"/>
      <c r="QLK303" s="208"/>
      <c r="QLL303" s="208"/>
      <c r="QLM303" s="208"/>
      <c r="QLN303" s="208"/>
      <c r="QLO303" s="208"/>
      <c r="QLP303" s="208"/>
      <c r="QLQ303" s="208"/>
      <c r="QLR303" s="208"/>
      <c r="QLS303" s="208"/>
      <c r="QLT303" s="208"/>
      <c r="QLU303" s="208"/>
      <c r="QLV303" s="208"/>
      <c r="QLW303" s="208"/>
      <c r="QLX303" s="208"/>
      <c r="QLY303" s="208"/>
      <c r="QLZ303" s="208"/>
      <c r="QMA303" s="208"/>
      <c r="QMB303" s="208"/>
      <c r="QMC303" s="208"/>
      <c r="QMD303" s="208"/>
      <c r="QME303" s="208"/>
      <c r="QMF303" s="208"/>
      <c r="QMG303" s="208"/>
      <c r="QMH303" s="208"/>
      <c r="QMI303" s="208"/>
      <c r="QMJ303" s="208"/>
      <c r="QMK303" s="208"/>
      <c r="QML303" s="208"/>
      <c r="QMM303" s="208"/>
      <c r="QMN303" s="208"/>
      <c r="QMO303" s="208"/>
      <c r="QMP303" s="208"/>
      <c r="QMQ303" s="208"/>
      <c r="QMR303" s="208"/>
      <c r="QMS303" s="208"/>
      <c r="QMT303" s="208"/>
      <c r="QMU303" s="208"/>
      <c r="QMV303" s="208"/>
      <c r="QMW303" s="208"/>
      <c r="QMX303" s="208"/>
      <c r="QMY303" s="208"/>
      <c r="QMZ303" s="208"/>
      <c r="QNA303" s="208"/>
      <c r="QNB303" s="208"/>
      <c r="QNC303" s="208"/>
      <c r="QND303" s="208"/>
      <c r="QNE303" s="208"/>
      <c r="QNF303" s="208"/>
      <c r="QNG303" s="208"/>
      <c r="QNH303" s="208"/>
      <c r="QNI303" s="208"/>
      <c r="QNJ303" s="208"/>
      <c r="QNK303" s="208"/>
      <c r="QNL303" s="208"/>
      <c r="QNM303" s="208"/>
      <c r="QNN303" s="208"/>
      <c r="QNO303" s="208"/>
      <c r="QNP303" s="208"/>
      <c r="QNQ303" s="208"/>
      <c r="QNR303" s="208"/>
      <c r="QNS303" s="208"/>
      <c r="QNT303" s="208"/>
      <c r="QNU303" s="208"/>
      <c r="QNV303" s="208"/>
      <c r="QNW303" s="208"/>
      <c r="QNX303" s="208"/>
      <c r="QNY303" s="208"/>
      <c r="QNZ303" s="208"/>
      <c r="QOA303" s="208"/>
      <c r="QOB303" s="208"/>
      <c r="QOC303" s="208"/>
      <c r="QOD303" s="208"/>
      <c r="QOE303" s="208"/>
      <c r="QOF303" s="208"/>
      <c r="QOG303" s="208"/>
      <c r="QOH303" s="208"/>
      <c r="QOI303" s="208"/>
      <c r="QOJ303" s="208"/>
      <c r="QOK303" s="208"/>
      <c r="QOL303" s="208"/>
      <c r="QOM303" s="208"/>
      <c r="QON303" s="208"/>
      <c r="QOO303" s="208"/>
      <c r="QOP303" s="208"/>
      <c r="QOQ303" s="208"/>
      <c r="QOR303" s="208"/>
      <c r="QOS303" s="208"/>
      <c r="QOT303" s="208"/>
      <c r="QOU303" s="208"/>
      <c r="QOV303" s="208"/>
      <c r="QOW303" s="208"/>
      <c r="QOX303" s="208"/>
      <c r="QOY303" s="208"/>
      <c r="QOZ303" s="208"/>
      <c r="QPA303" s="208"/>
      <c r="QPB303" s="208"/>
      <c r="QPC303" s="208"/>
      <c r="QPD303" s="208"/>
      <c r="QPE303" s="208"/>
      <c r="QPF303" s="208"/>
      <c r="QPG303" s="208"/>
      <c r="QPH303" s="208"/>
      <c r="QPI303" s="208"/>
      <c r="QPJ303" s="208"/>
      <c r="QPK303" s="208"/>
      <c r="QPL303" s="208"/>
      <c r="QPM303" s="208"/>
      <c r="QPN303" s="208"/>
      <c r="QPO303" s="208"/>
      <c r="QPP303" s="208"/>
      <c r="QPQ303" s="208"/>
      <c r="QPR303" s="208"/>
      <c r="QPS303" s="208"/>
      <c r="QPT303" s="208"/>
      <c r="QPU303" s="208"/>
      <c r="QPV303" s="208"/>
      <c r="QPW303" s="208"/>
      <c r="QPX303" s="208"/>
      <c r="QPY303" s="208"/>
      <c r="QPZ303" s="208"/>
      <c r="QQA303" s="208"/>
      <c r="QQB303" s="208"/>
      <c r="QQC303" s="208"/>
      <c r="QQD303" s="208"/>
      <c r="QQE303" s="208"/>
      <c r="QQF303" s="208"/>
      <c r="QQG303" s="208"/>
      <c r="QQH303" s="208"/>
      <c r="QQI303" s="208"/>
      <c r="QQJ303" s="208"/>
      <c r="QQK303" s="208"/>
      <c r="QQL303" s="208"/>
      <c r="QQM303" s="208"/>
      <c r="QQN303" s="208"/>
      <c r="QQO303" s="208"/>
      <c r="QQP303" s="208"/>
      <c r="QQQ303" s="208"/>
      <c r="QQR303" s="208"/>
      <c r="QQS303" s="208"/>
      <c r="QQT303" s="208"/>
      <c r="QQU303" s="208"/>
      <c r="QQV303" s="208"/>
      <c r="QQW303" s="208"/>
      <c r="QQX303" s="208"/>
      <c r="QQY303" s="208"/>
      <c r="QQZ303" s="208"/>
      <c r="QRA303" s="208"/>
      <c r="QRB303" s="208"/>
      <c r="QRC303" s="208"/>
      <c r="QRD303" s="208"/>
      <c r="QRE303" s="208"/>
      <c r="QRF303" s="208"/>
      <c r="QRG303" s="208"/>
      <c r="QRH303" s="208"/>
      <c r="QRI303" s="208"/>
      <c r="QRJ303" s="208"/>
      <c r="QRK303" s="208"/>
      <c r="QRL303" s="208"/>
      <c r="QRM303" s="208"/>
      <c r="QRN303" s="208"/>
      <c r="QRO303" s="208"/>
      <c r="QRP303" s="208"/>
      <c r="QRQ303" s="208"/>
      <c r="QRR303" s="208"/>
      <c r="QRS303" s="208"/>
      <c r="QRT303" s="208"/>
      <c r="QRU303" s="208"/>
      <c r="QRV303" s="208"/>
      <c r="QRW303" s="208"/>
      <c r="QRX303" s="208"/>
      <c r="QRY303" s="208"/>
      <c r="QRZ303" s="208"/>
      <c r="QSA303" s="208"/>
      <c r="QSB303" s="208"/>
      <c r="QSC303" s="208"/>
      <c r="QSD303" s="208"/>
      <c r="QSE303" s="208"/>
      <c r="QSF303" s="208"/>
      <c r="QSG303" s="208"/>
      <c r="QSH303" s="208"/>
      <c r="QSI303" s="208"/>
      <c r="QSJ303" s="208"/>
      <c r="QSK303" s="208"/>
      <c r="QSL303" s="208"/>
      <c r="QSM303" s="208"/>
      <c r="QSN303" s="208"/>
      <c r="QSO303" s="208"/>
      <c r="QSP303" s="208"/>
      <c r="QSQ303" s="208"/>
      <c r="QSR303" s="208"/>
      <c r="QSS303" s="208"/>
      <c r="QST303" s="208"/>
      <c r="QSU303" s="208"/>
      <c r="QSV303" s="208"/>
      <c r="QSW303" s="208"/>
      <c r="QSX303" s="208"/>
      <c r="QSY303" s="208"/>
      <c r="QSZ303" s="208"/>
      <c r="QTA303" s="208"/>
      <c r="QTB303" s="208"/>
      <c r="QTC303" s="208"/>
      <c r="QTD303" s="208"/>
      <c r="QTE303" s="208"/>
      <c r="QTF303" s="208"/>
      <c r="QTG303" s="208"/>
      <c r="QTH303" s="208"/>
      <c r="QTI303" s="208"/>
      <c r="QTJ303" s="208"/>
      <c r="QTK303" s="208"/>
      <c r="QTL303" s="208"/>
      <c r="QTM303" s="208"/>
      <c r="QTN303" s="208"/>
      <c r="QTO303" s="208"/>
      <c r="QTP303" s="208"/>
      <c r="QTQ303" s="208"/>
      <c r="QTR303" s="208"/>
      <c r="QTS303" s="208"/>
      <c r="QTT303" s="208"/>
      <c r="QTU303" s="208"/>
      <c r="QTV303" s="208"/>
      <c r="QTW303" s="208"/>
      <c r="QTX303" s="208"/>
      <c r="QTY303" s="208"/>
      <c r="QTZ303" s="208"/>
      <c r="QUA303" s="208"/>
      <c r="QUB303" s="208"/>
      <c r="QUC303" s="208"/>
      <c r="QUD303" s="208"/>
      <c r="QUE303" s="208"/>
      <c r="QUF303" s="208"/>
      <c r="QUG303" s="208"/>
      <c r="QUH303" s="208"/>
      <c r="QUI303" s="208"/>
      <c r="QUJ303" s="208"/>
      <c r="QUK303" s="208"/>
      <c r="QUL303" s="208"/>
      <c r="QUM303" s="208"/>
      <c r="QUN303" s="208"/>
      <c r="QUO303" s="208"/>
      <c r="QUP303" s="208"/>
      <c r="QUQ303" s="208"/>
      <c r="QUR303" s="208"/>
      <c r="QUS303" s="208"/>
      <c r="QUT303" s="208"/>
      <c r="QUU303" s="208"/>
      <c r="QUV303" s="208"/>
      <c r="QUW303" s="208"/>
      <c r="QUX303" s="208"/>
      <c r="QUY303" s="208"/>
      <c r="QUZ303" s="208"/>
      <c r="QVA303" s="208"/>
      <c r="QVB303" s="208"/>
      <c r="QVC303" s="208"/>
      <c r="QVD303" s="208"/>
      <c r="QVE303" s="208"/>
      <c r="QVF303" s="208"/>
      <c r="QVG303" s="208"/>
      <c r="QVH303" s="208"/>
      <c r="QVI303" s="208"/>
      <c r="QVJ303" s="208"/>
      <c r="QVK303" s="208"/>
      <c r="QVL303" s="208"/>
      <c r="QVM303" s="208"/>
      <c r="QVN303" s="208"/>
      <c r="QVO303" s="208"/>
      <c r="QVP303" s="208"/>
      <c r="QVQ303" s="208"/>
      <c r="QVR303" s="208"/>
      <c r="QVS303" s="208"/>
      <c r="QVT303" s="208"/>
      <c r="QVU303" s="208"/>
      <c r="QVV303" s="208"/>
      <c r="QVW303" s="208"/>
      <c r="QVX303" s="208"/>
      <c r="QVY303" s="208"/>
      <c r="QVZ303" s="208"/>
      <c r="QWA303" s="208"/>
      <c r="QWB303" s="208"/>
      <c r="QWC303" s="208"/>
      <c r="QWD303" s="208"/>
      <c r="QWE303" s="208"/>
      <c r="QWF303" s="208"/>
      <c r="QWG303" s="208"/>
      <c r="QWH303" s="208"/>
      <c r="QWI303" s="208"/>
      <c r="QWJ303" s="208"/>
      <c r="QWK303" s="208"/>
      <c r="QWL303" s="208"/>
      <c r="QWM303" s="208"/>
      <c r="QWN303" s="208"/>
      <c r="QWO303" s="208"/>
      <c r="QWP303" s="208"/>
      <c r="QWQ303" s="208"/>
      <c r="QWR303" s="208"/>
      <c r="QWS303" s="208"/>
      <c r="QWT303" s="208"/>
      <c r="QWU303" s="208"/>
      <c r="QWV303" s="208"/>
      <c r="QWW303" s="208"/>
      <c r="QWX303" s="208"/>
      <c r="QWY303" s="208"/>
      <c r="QWZ303" s="208"/>
      <c r="QXA303" s="208"/>
      <c r="QXB303" s="208"/>
      <c r="QXC303" s="208"/>
      <c r="QXD303" s="208"/>
      <c r="QXE303" s="208"/>
      <c r="QXF303" s="208"/>
      <c r="QXG303" s="208"/>
      <c r="QXH303" s="208"/>
      <c r="QXI303" s="208"/>
      <c r="QXJ303" s="208"/>
      <c r="QXK303" s="208"/>
      <c r="QXL303" s="208"/>
      <c r="QXM303" s="208"/>
      <c r="QXN303" s="208"/>
      <c r="QXO303" s="208"/>
      <c r="QXP303" s="208"/>
      <c r="QXQ303" s="208"/>
      <c r="QXR303" s="208"/>
      <c r="QXS303" s="208"/>
      <c r="QXT303" s="208"/>
      <c r="QXU303" s="208"/>
      <c r="QXV303" s="208"/>
      <c r="QXW303" s="208"/>
      <c r="QXX303" s="208"/>
      <c r="QXY303" s="208"/>
      <c r="QXZ303" s="208"/>
      <c r="QYA303" s="208"/>
      <c r="QYB303" s="208"/>
      <c r="QYC303" s="208"/>
      <c r="QYD303" s="208"/>
      <c r="QYE303" s="208"/>
      <c r="QYF303" s="208"/>
      <c r="QYG303" s="208"/>
      <c r="QYH303" s="208"/>
      <c r="QYI303" s="208"/>
      <c r="QYJ303" s="208"/>
      <c r="QYK303" s="208"/>
      <c r="QYL303" s="208"/>
      <c r="QYM303" s="208"/>
      <c r="QYN303" s="208"/>
      <c r="QYO303" s="208"/>
      <c r="QYP303" s="208"/>
      <c r="QYQ303" s="208"/>
      <c r="QYR303" s="208"/>
      <c r="QYS303" s="208"/>
      <c r="QYT303" s="208"/>
      <c r="QYU303" s="208"/>
      <c r="QYV303" s="208"/>
      <c r="QYW303" s="208"/>
      <c r="QYX303" s="208"/>
      <c r="QYY303" s="208"/>
      <c r="QYZ303" s="208"/>
      <c r="QZA303" s="208"/>
      <c r="QZB303" s="208"/>
      <c r="QZC303" s="208"/>
      <c r="QZD303" s="208"/>
      <c r="QZE303" s="208"/>
      <c r="QZF303" s="208"/>
      <c r="QZG303" s="208"/>
      <c r="QZH303" s="208"/>
      <c r="QZI303" s="208"/>
      <c r="QZJ303" s="208"/>
      <c r="QZK303" s="208"/>
      <c r="QZL303" s="208"/>
      <c r="QZM303" s="208"/>
      <c r="QZN303" s="208"/>
      <c r="QZO303" s="208"/>
      <c r="QZP303" s="208"/>
      <c r="QZQ303" s="208"/>
      <c r="QZR303" s="208"/>
      <c r="QZS303" s="208"/>
      <c r="QZT303" s="208"/>
      <c r="QZU303" s="208"/>
      <c r="QZV303" s="208"/>
      <c r="QZW303" s="208"/>
      <c r="QZX303" s="208"/>
      <c r="QZY303" s="208"/>
      <c r="QZZ303" s="208"/>
      <c r="RAA303" s="208"/>
      <c r="RAB303" s="208"/>
      <c r="RAC303" s="208"/>
      <c r="RAD303" s="208"/>
      <c r="RAE303" s="208"/>
      <c r="RAF303" s="208"/>
      <c r="RAG303" s="208"/>
      <c r="RAH303" s="208"/>
      <c r="RAI303" s="208"/>
      <c r="RAJ303" s="208"/>
      <c r="RAK303" s="208"/>
      <c r="RAL303" s="208"/>
      <c r="RAM303" s="208"/>
      <c r="RAN303" s="208"/>
      <c r="RAO303" s="208"/>
      <c r="RAP303" s="208"/>
      <c r="RAQ303" s="208"/>
      <c r="RAR303" s="208"/>
      <c r="RAS303" s="208"/>
      <c r="RAT303" s="208"/>
      <c r="RAU303" s="208"/>
      <c r="RAV303" s="208"/>
      <c r="RAW303" s="208"/>
      <c r="RAX303" s="208"/>
      <c r="RAY303" s="208"/>
      <c r="RAZ303" s="208"/>
      <c r="RBA303" s="208"/>
      <c r="RBB303" s="208"/>
      <c r="RBC303" s="208"/>
      <c r="RBD303" s="208"/>
      <c r="RBE303" s="208"/>
      <c r="RBF303" s="208"/>
      <c r="RBG303" s="208"/>
      <c r="RBH303" s="208"/>
      <c r="RBI303" s="208"/>
      <c r="RBJ303" s="208"/>
      <c r="RBK303" s="208"/>
      <c r="RBL303" s="208"/>
      <c r="RBM303" s="208"/>
      <c r="RBN303" s="208"/>
      <c r="RBO303" s="208"/>
      <c r="RBP303" s="208"/>
      <c r="RBQ303" s="208"/>
      <c r="RBR303" s="208"/>
      <c r="RBS303" s="208"/>
      <c r="RBT303" s="208"/>
      <c r="RBU303" s="208"/>
      <c r="RBV303" s="208"/>
      <c r="RBW303" s="208"/>
      <c r="RBX303" s="208"/>
      <c r="RBY303" s="208"/>
      <c r="RBZ303" s="208"/>
      <c r="RCA303" s="208"/>
      <c r="RCB303" s="208"/>
      <c r="RCC303" s="208"/>
      <c r="RCD303" s="208"/>
      <c r="RCE303" s="208"/>
      <c r="RCF303" s="208"/>
      <c r="RCG303" s="208"/>
      <c r="RCH303" s="208"/>
      <c r="RCI303" s="208"/>
      <c r="RCJ303" s="208"/>
      <c r="RCK303" s="208"/>
      <c r="RCL303" s="208"/>
      <c r="RCM303" s="208"/>
      <c r="RCN303" s="208"/>
      <c r="RCO303" s="208"/>
      <c r="RCP303" s="208"/>
      <c r="RCQ303" s="208"/>
      <c r="RCR303" s="208"/>
      <c r="RCS303" s="208"/>
      <c r="RCT303" s="208"/>
      <c r="RCU303" s="208"/>
      <c r="RCV303" s="208"/>
      <c r="RCW303" s="208"/>
      <c r="RCX303" s="208"/>
      <c r="RCY303" s="208"/>
      <c r="RCZ303" s="208"/>
      <c r="RDA303" s="208"/>
      <c r="RDB303" s="208"/>
      <c r="RDC303" s="208"/>
      <c r="RDD303" s="208"/>
      <c r="RDE303" s="208"/>
      <c r="RDF303" s="208"/>
      <c r="RDG303" s="208"/>
      <c r="RDH303" s="208"/>
      <c r="RDI303" s="208"/>
      <c r="RDJ303" s="208"/>
      <c r="RDK303" s="208"/>
      <c r="RDL303" s="208"/>
      <c r="RDM303" s="208"/>
      <c r="RDN303" s="208"/>
      <c r="RDO303" s="208"/>
      <c r="RDP303" s="208"/>
      <c r="RDQ303" s="208"/>
      <c r="RDR303" s="208"/>
      <c r="RDS303" s="208"/>
      <c r="RDT303" s="208"/>
      <c r="RDU303" s="208"/>
      <c r="RDV303" s="208"/>
      <c r="RDW303" s="208"/>
      <c r="RDX303" s="208"/>
      <c r="RDY303" s="208"/>
      <c r="RDZ303" s="208"/>
      <c r="REA303" s="208"/>
      <c r="REB303" s="208"/>
      <c r="REC303" s="208"/>
      <c r="RED303" s="208"/>
      <c r="REE303" s="208"/>
      <c r="REF303" s="208"/>
      <c r="REG303" s="208"/>
      <c r="REH303" s="208"/>
      <c r="REI303" s="208"/>
      <c r="REJ303" s="208"/>
      <c r="REK303" s="208"/>
      <c r="REL303" s="208"/>
      <c r="REM303" s="208"/>
      <c r="REN303" s="208"/>
      <c r="REO303" s="208"/>
      <c r="REP303" s="208"/>
      <c r="REQ303" s="208"/>
      <c r="RER303" s="208"/>
      <c r="RES303" s="208"/>
      <c r="RET303" s="208"/>
      <c r="REU303" s="208"/>
      <c r="REV303" s="208"/>
      <c r="REW303" s="208"/>
      <c r="REX303" s="208"/>
      <c r="REY303" s="208"/>
      <c r="REZ303" s="208"/>
      <c r="RFA303" s="208"/>
      <c r="RFB303" s="208"/>
      <c r="RFC303" s="208"/>
      <c r="RFD303" s="208"/>
      <c r="RFE303" s="208"/>
      <c r="RFF303" s="208"/>
      <c r="RFG303" s="208"/>
      <c r="RFH303" s="208"/>
      <c r="RFI303" s="208"/>
      <c r="RFJ303" s="208"/>
      <c r="RFK303" s="208"/>
      <c r="RFL303" s="208"/>
      <c r="RFM303" s="208"/>
      <c r="RFN303" s="208"/>
      <c r="RFO303" s="208"/>
      <c r="RFP303" s="208"/>
      <c r="RFQ303" s="208"/>
      <c r="RFR303" s="208"/>
      <c r="RFS303" s="208"/>
      <c r="RFT303" s="208"/>
      <c r="RFU303" s="208"/>
      <c r="RFV303" s="208"/>
      <c r="RFW303" s="208"/>
      <c r="RFX303" s="208"/>
      <c r="RFY303" s="208"/>
      <c r="RFZ303" s="208"/>
      <c r="RGA303" s="208"/>
      <c r="RGB303" s="208"/>
      <c r="RGC303" s="208"/>
      <c r="RGD303" s="208"/>
      <c r="RGE303" s="208"/>
      <c r="RGF303" s="208"/>
      <c r="RGG303" s="208"/>
      <c r="RGH303" s="208"/>
      <c r="RGI303" s="208"/>
      <c r="RGJ303" s="208"/>
      <c r="RGK303" s="208"/>
      <c r="RGL303" s="208"/>
      <c r="RGM303" s="208"/>
      <c r="RGN303" s="208"/>
      <c r="RGO303" s="208"/>
      <c r="RGP303" s="208"/>
      <c r="RGQ303" s="208"/>
      <c r="RGR303" s="208"/>
      <c r="RGS303" s="208"/>
      <c r="RGT303" s="208"/>
      <c r="RGU303" s="208"/>
      <c r="RGV303" s="208"/>
      <c r="RGW303" s="208"/>
      <c r="RGX303" s="208"/>
      <c r="RGY303" s="208"/>
      <c r="RGZ303" s="208"/>
      <c r="RHA303" s="208"/>
      <c r="RHB303" s="208"/>
      <c r="RHC303" s="208"/>
      <c r="RHD303" s="208"/>
      <c r="RHE303" s="208"/>
      <c r="RHF303" s="208"/>
      <c r="RHG303" s="208"/>
      <c r="RHH303" s="208"/>
      <c r="RHI303" s="208"/>
      <c r="RHJ303" s="208"/>
      <c r="RHK303" s="208"/>
      <c r="RHL303" s="208"/>
      <c r="RHM303" s="208"/>
      <c r="RHN303" s="208"/>
      <c r="RHO303" s="208"/>
      <c r="RHP303" s="208"/>
      <c r="RHQ303" s="208"/>
      <c r="RHR303" s="208"/>
      <c r="RHS303" s="208"/>
      <c r="RHT303" s="208"/>
      <c r="RHU303" s="208"/>
      <c r="RHV303" s="208"/>
      <c r="RHW303" s="208"/>
      <c r="RHX303" s="208"/>
      <c r="RHY303" s="208"/>
      <c r="RHZ303" s="208"/>
      <c r="RIA303" s="208"/>
      <c r="RIB303" s="208"/>
      <c r="RIC303" s="208"/>
      <c r="RID303" s="208"/>
      <c r="RIE303" s="208"/>
      <c r="RIF303" s="208"/>
      <c r="RIG303" s="208"/>
      <c r="RIH303" s="208"/>
      <c r="RII303" s="208"/>
      <c r="RIJ303" s="208"/>
      <c r="RIK303" s="208"/>
      <c r="RIL303" s="208"/>
      <c r="RIM303" s="208"/>
      <c r="RIN303" s="208"/>
      <c r="RIO303" s="208"/>
      <c r="RIP303" s="208"/>
      <c r="RIQ303" s="208"/>
      <c r="RIR303" s="208"/>
      <c r="RIS303" s="208"/>
      <c r="RIT303" s="208"/>
      <c r="RIU303" s="208"/>
      <c r="RIV303" s="208"/>
      <c r="RIW303" s="208"/>
      <c r="RIX303" s="208"/>
      <c r="RIY303" s="208"/>
      <c r="RIZ303" s="208"/>
      <c r="RJA303" s="208"/>
      <c r="RJB303" s="208"/>
      <c r="RJC303" s="208"/>
      <c r="RJD303" s="208"/>
      <c r="RJE303" s="208"/>
      <c r="RJF303" s="208"/>
      <c r="RJG303" s="208"/>
      <c r="RJH303" s="208"/>
      <c r="RJI303" s="208"/>
      <c r="RJJ303" s="208"/>
      <c r="RJK303" s="208"/>
      <c r="RJL303" s="208"/>
      <c r="RJM303" s="208"/>
      <c r="RJN303" s="208"/>
      <c r="RJO303" s="208"/>
      <c r="RJP303" s="208"/>
      <c r="RJQ303" s="208"/>
      <c r="RJR303" s="208"/>
      <c r="RJS303" s="208"/>
      <c r="RJT303" s="208"/>
      <c r="RJU303" s="208"/>
      <c r="RJV303" s="208"/>
      <c r="RJW303" s="208"/>
      <c r="RJX303" s="208"/>
      <c r="RJY303" s="208"/>
      <c r="RJZ303" s="208"/>
      <c r="RKA303" s="208"/>
      <c r="RKB303" s="208"/>
      <c r="RKC303" s="208"/>
      <c r="RKD303" s="208"/>
      <c r="RKE303" s="208"/>
      <c r="RKF303" s="208"/>
      <c r="RKG303" s="208"/>
      <c r="RKH303" s="208"/>
      <c r="RKI303" s="208"/>
      <c r="RKJ303" s="208"/>
      <c r="RKK303" s="208"/>
      <c r="RKL303" s="208"/>
      <c r="RKM303" s="208"/>
      <c r="RKN303" s="208"/>
      <c r="RKO303" s="208"/>
      <c r="RKP303" s="208"/>
      <c r="RKQ303" s="208"/>
      <c r="RKR303" s="208"/>
      <c r="RKS303" s="208"/>
      <c r="RKT303" s="208"/>
      <c r="RKU303" s="208"/>
      <c r="RKV303" s="208"/>
      <c r="RKW303" s="208"/>
      <c r="RKX303" s="208"/>
      <c r="RKY303" s="208"/>
      <c r="RKZ303" s="208"/>
      <c r="RLA303" s="208"/>
      <c r="RLB303" s="208"/>
      <c r="RLC303" s="208"/>
      <c r="RLD303" s="208"/>
      <c r="RLE303" s="208"/>
      <c r="RLF303" s="208"/>
      <c r="RLG303" s="208"/>
      <c r="RLH303" s="208"/>
      <c r="RLI303" s="208"/>
      <c r="RLJ303" s="208"/>
      <c r="RLK303" s="208"/>
      <c r="RLL303" s="208"/>
      <c r="RLM303" s="208"/>
      <c r="RLN303" s="208"/>
      <c r="RLO303" s="208"/>
      <c r="RLP303" s="208"/>
      <c r="RLQ303" s="208"/>
      <c r="RLR303" s="208"/>
      <c r="RLS303" s="208"/>
      <c r="RLT303" s="208"/>
      <c r="RLU303" s="208"/>
      <c r="RLV303" s="208"/>
      <c r="RLW303" s="208"/>
      <c r="RLX303" s="208"/>
      <c r="RLY303" s="208"/>
      <c r="RLZ303" s="208"/>
      <c r="RMA303" s="208"/>
      <c r="RMB303" s="208"/>
      <c r="RMC303" s="208"/>
      <c r="RMD303" s="208"/>
      <c r="RME303" s="208"/>
      <c r="RMF303" s="208"/>
      <c r="RMG303" s="208"/>
      <c r="RMH303" s="208"/>
      <c r="RMI303" s="208"/>
      <c r="RMJ303" s="208"/>
      <c r="RMK303" s="208"/>
      <c r="RML303" s="208"/>
      <c r="RMM303" s="208"/>
      <c r="RMN303" s="208"/>
      <c r="RMO303" s="208"/>
      <c r="RMP303" s="208"/>
      <c r="RMQ303" s="208"/>
      <c r="RMR303" s="208"/>
      <c r="RMS303" s="208"/>
      <c r="RMT303" s="208"/>
      <c r="RMU303" s="208"/>
      <c r="RMV303" s="208"/>
      <c r="RMW303" s="208"/>
      <c r="RMX303" s="208"/>
      <c r="RMY303" s="208"/>
      <c r="RMZ303" s="208"/>
      <c r="RNA303" s="208"/>
      <c r="RNB303" s="208"/>
      <c r="RNC303" s="208"/>
      <c r="RND303" s="208"/>
      <c r="RNE303" s="208"/>
      <c r="RNF303" s="208"/>
      <c r="RNG303" s="208"/>
      <c r="RNH303" s="208"/>
      <c r="RNI303" s="208"/>
      <c r="RNJ303" s="208"/>
      <c r="RNK303" s="208"/>
      <c r="RNL303" s="208"/>
      <c r="RNM303" s="208"/>
      <c r="RNN303" s="208"/>
      <c r="RNO303" s="208"/>
      <c r="RNP303" s="208"/>
      <c r="RNQ303" s="208"/>
      <c r="RNR303" s="208"/>
      <c r="RNS303" s="208"/>
      <c r="RNT303" s="208"/>
      <c r="RNU303" s="208"/>
      <c r="RNV303" s="208"/>
      <c r="RNW303" s="208"/>
      <c r="RNX303" s="208"/>
      <c r="RNY303" s="208"/>
      <c r="RNZ303" s="208"/>
      <c r="ROA303" s="208"/>
      <c r="ROB303" s="208"/>
      <c r="ROC303" s="208"/>
      <c r="ROD303" s="208"/>
      <c r="ROE303" s="208"/>
      <c r="ROF303" s="208"/>
      <c r="ROG303" s="208"/>
      <c r="ROH303" s="208"/>
      <c r="ROI303" s="208"/>
      <c r="ROJ303" s="208"/>
      <c r="ROK303" s="208"/>
      <c r="ROL303" s="208"/>
      <c r="ROM303" s="208"/>
      <c r="RON303" s="208"/>
      <c r="ROO303" s="208"/>
      <c r="ROP303" s="208"/>
      <c r="ROQ303" s="208"/>
      <c r="ROR303" s="208"/>
      <c r="ROS303" s="208"/>
      <c r="ROT303" s="208"/>
      <c r="ROU303" s="208"/>
      <c r="ROV303" s="208"/>
      <c r="ROW303" s="208"/>
      <c r="ROX303" s="208"/>
      <c r="ROY303" s="208"/>
      <c r="ROZ303" s="208"/>
      <c r="RPA303" s="208"/>
      <c r="RPB303" s="208"/>
      <c r="RPC303" s="208"/>
      <c r="RPD303" s="208"/>
      <c r="RPE303" s="208"/>
      <c r="RPF303" s="208"/>
      <c r="RPG303" s="208"/>
      <c r="RPH303" s="208"/>
      <c r="RPI303" s="208"/>
      <c r="RPJ303" s="208"/>
      <c r="RPK303" s="208"/>
      <c r="RPL303" s="208"/>
      <c r="RPM303" s="208"/>
      <c r="RPN303" s="208"/>
      <c r="RPO303" s="208"/>
      <c r="RPP303" s="208"/>
      <c r="RPQ303" s="208"/>
      <c r="RPR303" s="208"/>
      <c r="RPS303" s="208"/>
      <c r="RPT303" s="208"/>
      <c r="RPU303" s="208"/>
      <c r="RPV303" s="208"/>
      <c r="RPW303" s="208"/>
      <c r="RPX303" s="208"/>
      <c r="RPY303" s="208"/>
      <c r="RPZ303" s="208"/>
      <c r="RQA303" s="208"/>
      <c r="RQB303" s="208"/>
      <c r="RQC303" s="208"/>
      <c r="RQD303" s="208"/>
      <c r="RQE303" s="208"/>
      <c r="RQF303" s="208"/>
      <c r="RQG303" s="208"/>
      <c r="RQH303" s="208"/>
      <c r="RQI303" s="208"/>
      <c r="RQJ303" s="208"/>
      <c r="RQK303" s="208"/>
      <c r="RQL303" s="208"/>
      <c r="RQM303" s="208"/>
      <c r="RQN303" s="208"/>
      <c r="RQO303" s="208"/>
      <c r="RQP303" s="208"/>
      <c r="RQQ303" s="208"/>
      <c r="RQR303" s="208"/>
      <c r="RQS303" s="208"/>
      <c r="RQT303" s="208"/>
      <c r="RQU303" s="208"/>
      <c r="RQV303" s="208"/>
      <c r="RQW303" s="208"/>
      <c r="RQX303" s="208"/>
      <c r="RQY303" s="208"/>
      <c r="RQZ303" s="208"/>
      <c r="RRA303" s="208"/>
      <c r="RRB303" s="208"/>
      <c r="RRC303" s="208"/>
      <c r="RRD303" s="208"/>
      <c r="RRE303" s="208"/>
      <c r="RRF303" s="208"/>
      <c r="RRG303" s="208"/>
      <c r="RRH303" s="208"/>
      <c r="RRI303" s="208"/>
      <c r="RRJ303" s="208"/>
      <c r="RRK303" s="208"/>
      <c r="RRL303" s="208"/>
      <c r="RRM303" s="208"/>
      <c r="RRN303" s="208"/>
      <c r="RRO303" s="208"/>
      <c r="RRP303" s="208"/>
      <c r="RRQ303" s="208"/>
      <c r="RRR303" s="208"/>
      <c r="RRS303" s="208"/>
      <c r="RRT303" s="208"/>
      <c r="RRU303" s="208"/>
      <c r="RRV303" s="208"/>
      <c r="RRW303" s="208"/>
      <c r="RRX303" s="208"/>
      <c r="RRY303" s="208"/>
      <c r="RRZ303" s="208"/>
      <c r="RSA303" s="208"/>
      <c r="RSB303" s="208"/>
      <c r="RSC303" s="208"/>
      <c r="RSD303" s="208"/>
      <c r="RSE303" s="208"/>
      <c r="RSF303" s="208"/>
      <c r="RSG303" s="208"/>
      <c r="RSH303" s="208"/>
      <c r="RSI303" s="208"/>
      <c r="RSJ303" s="208"/>
      <c r="RSK303" s="208"/>
      <c r="RSL303" s="208"/>
      <c r="RSM303" s="208"/>
      <c r="RSN303" s="208"/>
      <c r="RSO303" s="208"/>
      <c r="RSP303" s="208"/>
      <c r="RSQ303" s="208"/>
      <c r="RSR303" s="208"/>
      <c r="RSS303" s="208"/>
      <c r="RST303" s="208"/>
      <c r="RSU303" s="208"/>
      <c r="RSV303" s="208"/>
      <c r="RSW303" s="208"/>
      <c r="RSX303" s="208"/>
      <c r="RSY303" s="208"/>
      <c r="RSZ303" s="208"/>
      <c r="RTA303" s="208"/>
      <c r="RTB303" s="208"/>
      <c r="RTC303" s="208"/>
      <c r="RTD303" s="208"/>
      <c r="RTE303" s="208"/>
      <c r="RTF303" s="208"/>
      <c r="RTG303" s="208"/>
      <c r="RTH303" s="208"/>
      <c r="RTI303" s="208"/>
      <c r="RTJ303" s="208"/>
      <c r="RTK303" s="208"/>
      <c r="RTL303" s="208"/>
      <c r="RTM303" s="208"/>
      <c r="RTN303" s="208"/>
      <c r="RTO303" s="208"/>
      <c r="RTP303" s="208"/>
      <c r="RTQ303" s="208"/>
      <c r="RTR303" s="208"/>
      <c r="RTS303" s="208"/>
      <c r="RTT303" s="208"/>
      <c r="RTU303" s="208"/>
      <c r="RTV303" s="208"/>
      <c r="RTW303" s="208"/>
      <c r="RTX303" s="208"/>
      <c r="RTY303" s="208"/>
      <c r="RTZ303" s="208"/>
      <c r="RUA303" s="208"/>
      <c r="RUB303" s="208"/>
      <c r="RUC303" s="208"/>
      <c r="RUD303" s="208"/>
      <c r="RUE303" s="208"/>
      <c r="RUF303" s="208"/>
      <c r="RUG303" s="208"/>
      <c r="RUH303" s="208"/>
      <c r="RUI303" s="208"/>
      <c r="RUJ303" s="208"/>
      <c r="RUK303" s="208"/>
      <c r="RUL303" s="208"/>
      <c r="RUM303" s="208"/>
      <c r="RUN303" s="208"/>
      <c r="RUO303" s="208"/>
      <c r="RUP303" s="208"/>
      <c r="RUQ303" s="208"/>
      <c r="RUR303" s="208"/>
      <c r="RUS303" s="208"/>
      <c r="RUT303" s="208"/>
      <c r="RUU303" s="208"/>
      <c r="RUV303" s="208"/>
      <c r="RUW303" s="208"/>
      <c r="RUX303" s="208"/>
      <c r="RUY303" s="208"/>
      <c r="RUZ303" s="208"/>
      <c r="RVA303" s="208"/>
      <c r="RVB303" s="208"/>
      <c r="RVC303" s="208"/>
      <c r="RVD303" s="208"/>
      <c r="RVE303" s="208"/>
      <c r="RVF303" s="208"/>
      <c r="RVG303" s="208"/>
      <c r="RVH303" s="208"/>
      <c r="RVI303" s="208"/>
      <c r="RVJ303" s="208"/>
      <c r="RVK303" s="208"/>
      <c r="RVL303" s="208"/>
      <c r="RVM303" s="208"/>
      <c r="RVN303" s="208"/>
      <c r="RVO303" s="208"/>
      <c r="RVP303" s="208"/>
      <c r="RVQ303" s="208"/>
      <c r="RVR303" s="208"/>
      <c r="RVS303" s="208"/>
      <c r="RVT303" s="208"/>
      <c r="RVU303" s="208"/>
      <c r="RVV303" s="208"/>
      <c r="RVW303" s="208"/>
      <c r="RVX303" s="208"/>
      <c r="RVY303" s="208"/>
      <c r="RVZ303" s="208"/>
      <c r="RWA303" s="208"/>
      <c r="RWB303" s="208"/>
      <c r="RWC303" s="208"/>
      <c r="RWD303" s="208"/>
      <c r="RWE303" s="208"/>
      <c r="RWF303" s="208"/>
      <c r="RWG303" s="208"/>
      <c r="RWH303" s="208"/>
      <c r="RWI303" s="208"/>
      <c r="RWJ303" s="208"/>
      <c r="RWK303" s="208"/>
      <c r="RWL303" s="208"/>
      <c r="RWM303" s="208"/>
      <c r="RWN303" s="208"/>
      <c r="RWO303" s="208"/>
      <c r="RWP303" s="208"/>
      <c r="RWQ303" s="208"/>
      <c r="RWR303" s="208"/>
      <c r="RWS303" s="208"/>
      <c r="RWT303" s="208"/>
      <c r="RWU303" s="208"/>
      <c r="RWV303" s="208"/>
      <c r="RWW303" s="208"/>
      <c r="RWX303" s="208"/>
      <c r="RWY303" s="208"/>
      <c r="RWZ303" s="208"/>
      <c r="RXA303" s="208"/>
      <c r="RXB303" s="208"/>
      <c r="RXC303" s="208"/>
      <c r="RXD303" s="208"/>
      <c r="RXE303" s="208"/>
      <c r="RXF303" s="208"/>
      <c r="RXG303" s="208"/>
      <c r="RXH303" s="208"/>
      <c r="RXI303" s="208"/>
      <c r="RXJ303" s="208"/>
      <c r="RXK303" s="208"/>
      <c r="RXL303" s="208"/>
      <c r="RXM303" s="208"/>
      <c r="RXN303" s="208"/>
      <c r="RXO303" s="208"/>
      <c r="RXP303" s="208"/>
      <c r="RXQ303" s="208"/>
      <c r="RXR303" s="208"/>
      <c r="RXS303" s="208"/>
      <c r="RXT303" s="208"/>
      <c r="RXU303" s="208"/>
      <c r="RXV303" s="208"/>
      <c r="RXW303" s="208"/>
      <c r="RXX303" s="208"/>
      <c r="RXY303" s="208"/>
      <c r="RXZ303" s="208"/>
      <c r="RYA303" s="208"/>
      <c r="RYB303" s="208"/>
      <c r="RYC303" s="208"/>
      <c r="RYD303" s="208"/>
      <c r="RYE303" s="208"/>
      <c r="RYF303" s="208"/>
      <c r="RYG303" s="208"/>
      <c r="RYH303" s="208"/>
      <c r="RYI303" s="208"/>
      <c r="RYJ303" s="208"/>
      <c r="RYK303" s="208"/>
      <c r="RYL303" s="208"/>
      <c r="RYM303" s="208"/>
      <c r="RYN303" s="208"/>
      <c r="RYO303" s="208"/>
      <c r="RYP303" s="208"/>
      <c r="RYQ303" s="208"/>
      <c r="RYR303" s="208"/>
      <c r="RYS303" s="208"/>
      <c r="RYT303" s="208"/>
      <c r="RYU303" s="208"/>
      <c r="RYV303" s="208"/>
      <c r="RYW303" s="208"/>
      <c r="RYX303" s="208"/>
      <c r="RYY303" s="208"/>
      <c r="RYZ303" s="208"/>
      <c r="RZA303" s="208"/>
      <c r="RZB303" s="208"/>
      <c r="RZC303" s="208"/>
      <c r="RZD303" s="208"/>
      <c r="RZE303" s="208"/>
      <c r="RZF303" s="208"/>
      <c r="RZG303" s="208"/>
      <c r="RZH303" s="208"/>
      <c r="RZI303" s="208"/>
      <c r="RZJ303" s="208"/>
      <c r="RZK303" s="208"/>
      <c r="RZL303" s="208"/>
      <c r="RZM303" s="208"/>
      <c r="RZN303" s="208"/>
      <c r="RZO303" s="208"/>
      <c r="RZP303" s="208"/>
      <c r="RZQ303" s="208"/>
      <c r="RZR303" s="208"/>
      <c r="RZS303" s="208"/>
      <c r="RZT303" s="208"/>
      <c r="RZU303" s="208"/>
      <c r="RZV303" s="208"/>
      <c r="RZW303" s="208"/>
      <c r="RZX303" s="208"/>
      <c r="RZY303" s="208"/>
      <c r="RZZ303" s="208"/>
      <c r="SAA303" s="208"/>
      <c r="SAB303" s="208"/>
      <c r="SAC303" s="208"/>
      <c r="SAD303" s="208"/>
      <c r="SAE303" s="208"/>
      <c r="SAF303" s="208"/>
      <c r="SAG303" s="208"/>
      <c r="SAH303" s="208"/>
      <c r="SAI303" s="208"/>
      <c r="SAJ303" s="208"/>
      <c r="SAK303" s="208"/>
      <c r="SAL303" s="208"/>
      <c r="SAM303" s="208"/>
      <c r="SAN303" s="208"/>
      <c r="SAO303" s="208"/>
      <c r="SAP303" s="208"/>
      <c r="SAQ303" s="208"/>
      <c r="SAR303" s="208"/>
      <c r="SAS303" s="208"/>
      <c r="SAT303" s="208"/>
      <c r="SAU303" s="208"/>
      <c r="SAV303" s="208"/>
      <c r="SAW303" s="208"/>
      <c r="SAX303" s="208"/>
      <c r="SAY303" s="208"/>
      <c r="SAZ303" s="208"/>
      <c r="SBA303" s="208"/>
      <c r="SBB303" s="208"/>
      <c r="SBC303" s="208"/>
      <c r="SBD303" s="208"/>
      <c r="SBE303" s="208"/>
      <c r="SBF303" s="208"/>
      <c r="SBG303" s="208"/>
      <c r="SBH303" s="208"/>
      <c r="SBI303" s="208"/>
      <c r="SBJ303" s="208"/>
      <c r="SBK303" s="208"/>
      <c r="SBL303" s="208"/>
      <c r="SBM303" s="208"/>
      <c r="SBN303" s="208"/>
      <c r="SBO303" s="208"/>
      <c r="SBP303" s="208"/>
      <c r="SBQ303" s="208"/>
      <c r="SBR303" s="208"/>
      <c r="SBS303" s="208"/>
      <c r="SBT303" s="208"/>
      <c r="SBU303" s="208"/>
      <c r="SBV303" s="208"/>
      <c r="SBW303" s="208"/>
      <c r="SBX303" s="208"/>
      <c r="SBY303" s="208"/>
      <c r="SBZ303" s="208"/>
      <c r="SCA303" s="208"/>
      <c r="SCB303" s="208"/>
      <c r="SCC303" s="208"/>
      <c r="SCD303" s="208"/>
      <c r="SCE303" s="208"/>
      <c r="SCF303" s="208"/>
      <c r="SCG303" s="208"/>
      <c r="SCH303" s="208"/>
      <c r="SCI303" s="208"/>
      <c r="SCJ303" s="208"/>
      <c r="SCK303" s="208"/>
      <c r="SCL303" s="208"/>
      <c r="SCM303" s="208"/>
      <c r="SCN303" s="208"/>
      <c r="SCO303" s="208"/>
      <c r="SCP303" s="208"/>
      <c r="SCQ303" s="208"/>
      <c r="SCR303" s="208"/>
      <c r="SCS303" s="208"/>
      <c r="SCT303" s="208"/>
      <c r="SCU303" s="208"/>
      <c r="SCV303" s="208"/>
      <c r="SCW303" s="208"/>
      <c r="SCX303" s="208"/>
      <c r="SCY303" s="208"/>
      <c r="SCZ303" s="208"/>
      <c r="SDA303" s="208"/>
      <c r="SDB303" s="208"/>
      <c r="SDC303" s="208"/>
      <c r="SDD303" s="208"/>
      <c r="SDE303" s="208"/>
      <c r="SDF303" s="208"/>
      <c r="SDG303" s="208"/>
      <c r="SDH303" s="208"/>
      <c r="SDI303" s="208"/>
      <c r="SDJ303" s="208"/>
      <c r="SDK303" s="208"/>
      <c r="SDL303" s="208"/>
      <c r="SDM303" s="208"/>
      <c r="SDN303" s="208"/>
      <c r="SDO303" s="208"/>
      <c r="SDP303" s="208"/>
      <c r="SDQ303" s="208"/>
      <c r="SDR303" s="208"/>
      <c r="SDS303" s="208"/>
      <c r="SDT303" s="208"/>
      <c r="SDU303" s="208"/>
      <c r="SDV303" s="208"/>
      <c r="SDW303" s="208"/>
      <c r="SDX303" s="208"/>
      <c r="SDY303" s="208"/>
      <c r="SDZ303" s="208"/>
      <c r="SEA303" s="208"/>
      <c r="SEB303" s="208"/>
      <c r="SEC303" s="208"/>
      <c r="SED303" s="208"/>
      <c r="SEE303" s="208"/>
      <c r="SEF303" s="208"/>
      <c r="SEG303" s="208"/>
      <c r="SEH303" s="208"/>
      <c r="SEI303" s="208"/>
      <c r="SEJ303" s="208"/>
      <c r="SEK303" s="208"/>
      <c r="SEL303" s="208"/>
      <c r="SEM303" s="208"/>
      <c r="SEN303" s="208"/>
      <c r="SEO303" s="208"/>
      <c r="SEP303" s="208"/>
      <c r="SEQ303" s="208"/>
      <c r="SER303" s="208"/>
      <c r="SES303" s="208"/>
      <c r="SET303" s="208"/>
      <c r="SEU303" s="208"/>
      <c r="SEV303" s="208"/>
      <c r="SEW303" s="208"/>
      <c r="SEX303" s="208"/>
      <c r="SEY303" s="208"/>
      <c r="SEZ303" s="208"/>
      <c r="SFA303" s="208"/>
      <c r="SFB303" s="208"/>
      <c r="SFC303" s="208"/>
      <c r="SFD303" s="208"/>
      <c r="SFE303" s="208"/>
      <c r="SFF303" s="208"/>
      <c r="SFG303" s="208"/>
      <c r="SFH303" s="208"/>
      <c r="SFI303" s="208"/>
      <c r="SFJ303" s="208"/>
      <c r="SFK303" s="208"/>
      <c r="SFL303" s="208"/>
      <c r="SFM303" s="208"/>
      <c r="SFN303" s="208"/>
      <c r="SFO303" s="208"/>
      <c r="SFP303" s="208"/>
      <c r="SFQ303" s="208"/>
      <c r="SFR303" s="208"/>
      <c r="SFS303" s="208"/>
      <c r="SFT303" s="208"/>
      <c r="SFU303" s="208"/>
      <c r="SFV303" s="208"/>
      <c r="SFW303" s="208"/>
      <c r="SFX303" s="208"/>
      <c r="SFY303" s="208"/>
      <c r="SFZ303" s="208"/>
      <c r="SGA303" s="208"/>
      <c r="SGB303" s="208"/>
      <c r="SGC303" s="208"/>
      <c r="SGD303" s="208"/>
      <c r="SGE303" s="208"/>
      <c r="SGF303" s="208"/>
      <c r="SGG303" s="208"/>
      <c r="SGH303" s="208"/>
      <c r="SGI303" s="208"/>
      <c r="SGJ303" s="208"/>
      <c r="SGK303" s="208"/>
      <c r="SGL303" s="208"/>
      <c r="SGM303" s="208"/>
      <c r="SGN303" s="208"/>
      <c r="SGO303" s="208"/>
      <c r="SGP303" s="208"/>
      <c r="SGQ303" s="208"/>
      <c r="SGR303" s="208"/>
      <c r="SGS303" s="208"/>
      <c r="SGT303" s="208"/>
      <c r="SGU303" s="208"/>
      <c r="SGV303" s="208"/>
      <c r="SGW303" s="208"/>
      <c r="SGX303" s="208"/>
      <c r="SGY303" s="208"/>
      <c r="SGZ303" s="208"/>
      <c r="SHA303" s="208"/>
      <c r="SHB303" s="208"/>
      <c r="SHC303" s="208"/>
      <c r="SHD303" s="208"/>
      <c r="SHE303" s="208"/>
      <c r="SHF303" s="208"/>
      <c r="SHG303" s="208"/>
      <c r="SHH303" s="208"/>
      <c r="SHI303" s="208"/>
      <c r="SHJ303" s="208"/>
      <c r="SHK303" s="208"/>
      <c r="SHL303" s="208"/>
      <c r="SHM303" s="208"/>
      <c r="SHN303" s="208"/>
      <c r="SHO303" s="208"/>
      <c r="SHP303" s="208"/>
      <c r="SHQ303" s="208"/>
      <c r="SHR303" s="208"/>
      <c r="SHS303" s="208"/>
      <c r="SHT303" s="208"/>
      <c r="SHU303" s="208"/>
      <c r="SHV303" s="208"/>
      <c r="SHW303" s="208"/>
      <c r="SHX303" s="208"/>
      <c r="SHY303" s="208"/>
      <c r="SHZ303" s="208"/>
      <c r="SIA303" s="208"/>
      <c r="SIB303" s="208"/>
      <c r="SIC303" s="208"/>
      <c r="SID303" s="208"/>
      <c r="SIE303" s="208"/>
      <c r="SIF303" s="208"/>
      <c r="SIG303" s="208"/>
      <c r="SIH303" s="208"/>
      <c r="SII303" s="208"/>
      <c r="SIJ303" s="208"/>
      <c r="SIK303" s="208"/>
      <c r="SIL303" s="208"/>
      <c r="SIM303" s="208"/>
      <c r="SIN303" s="208"/>
      <c r="SIO303" s="208"/>
      <c r="SIP303" s="208"/>
      <c r="SIQ303" s="208"/>
      <c r="SIR303" s="208"/>
      <c r="SIS303" s="208"/>
      <c r="SIT303" s="208"/>
      <c r="SIU303" s="208"/>
      <c r="SIV303" s="208"/>
      <c r="SIW303" s="208"/>
      <c r="SIX303" s="208"/>
      <c r="SIY303" s="208"/>
      <c r="SIZ303" s="208"/>
      <c r="SJA303" s="208"/>
      <c r="SJB303" s="208"/>
      <c r="SJC303" s="208"/>
      <c r="SJD303" s="208"/>
      <c r="SJE303" s="208"/>
      <c r="SJF303" s="208"/>
      <c r="SJG303" s="208"/>
      <c r="SJH303" s="208"/>
      <c r="SJI303" s="208"/>
      <c r="SJJ303" s="208"/>
      <c r="SJK303" s="208"/>
      <c r="SJL303" s="208"/>
      <c r="SJM303" s="208"/>
      <c r="SJN303" s="208"/>
      <c r="SJO303" s="208"/>
      <c r="SJP303" s="208"/>
      <c r="SJQ303" s="208"/>
      <c r="SJR303" s="208"/>
      <c r="SJS303" s="208"/>
      <c r="SJT303" s="208"/>
      <c r="SJU303" s="208"/>
      <c r="SJV303" s="208"/>
      <c r="SJW303" s="208"/>
      <c r="SJX303" s="208"/>
      <c r="SJY303" s="208"/>
      <c r="SJZ303" s="208"/>
      <c r="SKA303" s="208"/>
      <c r="SKB303" s="208"/>
      <c r="SKC303" s="208"/>
      <c r="SKD303" s="208"/>
      <c r="SKE303" s="208"/>
      <c r="SKF303" s="208"/>
      <c r="SKG303" s="208"/>
      <c r="SKH303" s="208"/>
      <c r="SKI303" s="208"/>
      <c r="SKJ303" s="208"/>
      <c r="SKK303" s="208"/>
      <c r="SKL303" s="208"/>
      <c r="SKM303" s="208"/>
      <c r="SKN303" s="208"/>
      <c r="SKO303" s="208"/>
      <c r="SKP303" s="208"/>
      <c r="SKQ303" s="208"/>
      <c r="SKR303" s="208"/>
      <c r="SKS303" s="208"/>
      <c r="SKT303" s="208"/>
      <c r="SKU303" s="208"/>
      <c r="SKV303" s="208"/>
      <c r="SKW303" s="208"/>
      <c r="SKX303" s="208"/>
      <c r="SKY303" s="208"/>
      <c r="SKZ303" s="208"/>
      <c r="SLA303" s="208"/>
      <c r="SLB303" s="208"/>
      <c r="SLC303" s="208"/>
      <c r="SLD303" s="208"/>
      <c r="SLE303" s="208"/>
      <c r="SLF303" s="208"/>
      <c r="SLG303" s="208"/>
      <c r="SLH303" s="208"/>
      <c r="SLI303" s="208"/>
      <c r="SLJ303" s="208"/>
      <c r="SLK303" s="208"/>
      <c r="SLL303" s="208"/>
      <c r="SLM303" s="208"/>
      <c r="SLN303" s="208"/>
      <c r="SLO303" s="208"/>
      <c r="SLP303" s="208"/>
      <c r="SLQ303" s="208"/>
      <c r="SLR303" s="208"/>
      <c r="SLS303" s="208"/>
      <c r="SLT303" s="208"/>
      <c r="SLU303" s="208"/>
      <c r="SLV303" s="208"/>
      <c r="SLW303" s="208"/>
      <c r="SLX303" s="208"/>
      <c r="SLY303" s="208"/>
      <c r="SLZ303" s="208"/>
      <c r="SMA303" s="208"/>
      <c r="SMB303" s="208"/>
      <c r="SMC303" s="208"/>
      <c r="SMD303" s="208"/>
      <c r="SME303" s="208"/>
      <c r="SMF303" s="208"/>
      <c r="SMG303" s="208"/>
      <c r="SMH303" s="208"/>
      <c r="SMI303" s="208"/>
      <c r="SMJ303" s="208"/>
      <c r="SMK303" s="208"/>
      <c r="SML303" s="208"/>
      <c r="SMM303" s="208"/>
      <c r="SMN303" s="208"/>
      <c r="SMO303" s="208"/>
      <c r="SMP303" s="208"/>
      <c r="SMQ303" s="208"/>
      <c r="SMR303" s="208"/>
      <c r="SMS303" s="208"/>
      <c r="SMT303" s="208"/>
      <c r="SMU303" s="208"/>
      <c r="SMV303" s="208"/>
      <c r="SMW303" s="208"/>
      <c r="SMX303" s="208"/>
      <c r="SMY303" s="208"/>
      <c r="SMZ303" s="208"/>
      <c r="SNA303" s="208"/>
      <c r="SNB303" s="208"/>
      <c r="SNC303" s="208"/>
      <c r="SND303" s="208"/>
      <c r="SNE303" s="208"/>
      <c r="SNF303" s="208"/>
      <c r="SNG303" s="208"/>
      <c r="SNH303" s="208"/>
      <c r="SNI303" s="208"/>
      <c r="SNJ303" s="208"/>
      <c r="SNK303" s="208"/>
      <c r="SNL303" s="208"/>
      <c r="SNM303" s="208"/>
      <c r="SNN303" s="208"/>
      <c r="SNO303" s="208"/>
      <c r="SNP303" s="208"/>
      <c r="SNQ303" s="208"/>
      <c r="SNR303" s="208"/>
      <c r="SNS303" s="208"/>
      <c r="SNT303" s="208"/>
      <c r="SNU303" s="208"/>
      <c r="SNV303" s="208"/>
      <c r="SNW303" s="208"/>
      <c r="SNX303" s="208"/>
      <c r="SNY303" s="208"/>
      <c r="SNZ303" s="208"/>
      <c r="SOA303" s="208"/>
      <c r="SOB303" s="208"/>
      <c r="SOC303" s="208"/>
      <c r="SOD303" s="208"/>
      <c r="SOE303" s="208"/>
      <c r="SOF303" s="208"/>
      <c r="SOG303" s="208"/>
      <c r="SOH303" s="208"/>
      <c r="SOI303" s="208"/>
      <c r="SOJ303" s="208"/>
      <c r="SOK303" s="208"/>
      <c r="SOL303" s="208"/>
      <c r="SOM303" s="208"/>
      <c r="SON303" s="208"/>
      <c r="SOO303" s="208"/>
      <c r="SOP303" s="208"/>
      <c r="SOQ303" s="208"/>
      <c r="SOR303" s="208"/>
      <c r="SOS303" s="208"/>
      <c r="SOT303" s="208"/>
      <c r="SOU303" s="208"/>
      <c r="SOV303" s="208"/>
      <c r="SOW303" s="208"/>
      <c r="SOX303" s="208"/>
      <c r="SOY303" s="208"/>
      <c r="SOZ303" s="208"/>
      <c r="SPA303" s="208"/>
      <c r="SPB303" s="208"/>
      <c r="SPC303" s="208"/>
      <c r="SPD303" s="208"/>
      <c r="SPE303" s="208"/>
      <c r="SPF303" s="208"/>
      <c r="SPG303" s="208"/>
      <c r="SPH303" s="208"/>
      <c r="SPI303" s="208"/>
      <c r="SPJ303" s="208"/>
      <c r="SPK303" s="208"/>
      <c r="SPL303" s="208"/>
      <c r="SPM303" s="208"/>
      <c r="SPN303" s="208"/>
      <c r="SPO303" s="208"/>
      <c r="SPP303" s="208"/>
      <c r="SPQ303" s="208"/>
      <c r="SPR303" s="208"/>
      <c r="SPS303" s="208"/>
      <c r="SPT303" s="208"/>
      <c r="SPU303" s="208"/>
      <c r="SPV303" s="208"/>
      <c r="SPW303" s="208"/>
      <c r="SPX303" s="208"/>
      <c r="SPY303" s="208"/>
      <c r="SPZ303" s="208"/>
      <c r="SQA303" s="208"/>
      <c r="SQB303" s="208"/>
      <c r="SQC303" s="208"/>
      <c r="SQD303" s="208"/>
      <c r="SQE303" s="208"/>
      <c r="SQF303" s="208"/>
      <c r="SQG303" s="208"/>
      <c r="SQH303" s="208"/>
      <c r="SQI303" s="208"/>
      <c r="SQJ303" s="208"/>
      <c r="SQK303" s="208"/>
      <c r="SQL303" s="208"/>
      <c r="SQM303" s="208"/>
      <c r="SQN303" s="208"/>
      <c r="SQO303" s="208"/>
      <c r="SQP303" s="208"/>
      <c r="SQQ303" s="208"/>
      <c r="SQR303" s="208"/>
      <c r="SQS303" s="208"/>
      <c r="SQT303" s="208"/>
      <c r="SQU303" s="208"/>
      <c r="SQV303" s="208"/>
      <c r="SQW303" s="208"/>
      <c r="SQX303" s="208"/>
      <c r="SQY303" s="208"/>
      <c r="SQZ303" s="208"/>
      <c r="SRA303" s="208"/>
      <c r="SRB303" s="208"/>
      <c r="SRC303" s="208"/>
      <c r="SRD303" s="208"/>
      <c r="SRE303" s="208"/>
      <c r="SRF303" s="208"/>
      <c r="SRG303" s="208"/>
      <c r="SRH303" s="208"/>
      <c r="SRI303" s="208"/>
      <c r="SRJ303" s="208"/>
      <c r="SRK303" s="208"/>
      <c r="SRL303" s="208"/>
      <c r="SRM303" s="208"/>
      <c r="SRN303" s="208"/>
      <c r="SRO303" s="208"/>
      <c r="SRP303" s="208"/>
      <c r="SRQ303" s="208"/>
      <c r="SRR303" s="208"/>
      <c r="SRS303" s="208"/>
      <c r="SRT303" s="208"/>
      <c r="SRU303" s="208"/>
      <c r="SRV303" s="208"/>
      <c r="SRW303" s="208"/>
      <c r="SRX303" s="208"/>
      <c r="SRY303" s="208"/>
      <c r="SRZ303" s="208"/>
      <c r="SSA303" s="208"/>
      <c r="SSB303" s="208"/>
      <c r="SSC303" s="208"/>
      <c r="SSD303" s="208"/>
      <c r="SSE303" s="208"/>
      <c r="SSF303" s="208"/>
      <c r="SSG303" s="208"/>
      <c r="SSH303" s="208"/>
      <c r="SSI303" s="208"/>
      <c r="SSJ303" s="208"/>
      <c r="SSK303" s="208"/>
      <c r="SSL303" s="208"/>
      <c r="SSM303" s="208"/>
      <c r="SSN303" s="208"/>
      <c r="SSO303" s="208"/>
      <c r="SSP303" s="208"/>
      <c r="SSQ303" s="208"/>
      <c r="SSR303" s="208"/>
      <c r="SSS303" s="208"/>
      <c r="SST303" s="208"/>
      <c r="SSU303" s="208"/>
      <c r="SSV303" s="208"/>
      <c r="SSW303" s="208"/>
      <c r="SSX303" s="208"/>
      <c r="SSY303" s="208"/>
      <c r="SSZ303" s="208"/>
      <c r="STA303" s="208"/>
      <c r="STB303" s="208"/>
      <c r="STC303" s="208"/>
      <c r="STD303" s="208"/>
      <c r="STE303" s="208"/>
      <c r="STF303" s="208"/>
      <c r="STG303" s="208"/>
      <c r="STH303" s="208"/>
      <c r="STI303" s="208"/>
      <c r="STJ303" s="208"/>
      <c r="STK303" s="208"/>
      <c r="STL303" s="208"/>
      <c r="STM303" s="208"/>
      <c r="STN303" s="208"/>
      <c r="STO303" s="208"/>
      <c r="STP303" s="208"/>
      <c r="STQ303" s="208"/>
      <c r="STR303" s="208"/>
      <c r="STS303" s="208"/>
      <c r="STT303" s="208"/>
      <c r="STU303" s="208"/>
      <c r="STV303" s="208"/>
      <c r="STW303" s="208"/>
      <c r="STX303" s="208"/>
      <c r="STY303" s="208"/>
      <c r="STZ303" s="208"/>
      <c r="SUA303" s="208"/>
      <c r="SUB303" s="208"/>
      <c r="SUC303" s="208"/>
      <c r="SUD303" s="208"/>
      <c r="SUE303" s="208"/>
      <c r="SUF303" s="208"/>
      <c r="SUG303" s="208"/>
      <c r="SUH303" s="208"/>
      <c r="SUI303" s="208"/>
      <c r="SUJ303" s="208"/>
      <c r="SUK303" s="208"/>
      <c r="SUL303" s="208"/>
      <c r="SUM303" s="208"/>
      <c r="SUN303" s="208"/>
      <c r="SUO303" s="208"/>
      <c r="SUP303" s="208"/>
      <c r="SUQ303" s="208"/>
      <c r="SUR303" s="208"/>
      <c r="SUS303" s="208"/>
      <c r="SUT303" s="208"/>
      <c r="SUU303" s="208"/>
      <c r="SUV303" s="208"/>
      <c r="SUW303" s="208"/>
      <c r="SUX303" s="208"/>
      <c r="SUY303" s="208"/>
      <c r="SUZ303" s="208"/>
      <c r="SVA303" s="208"/>
      <c r="SVB303" s="208"/>
      <c r="SVC303" s="208"/>
      <c r="SVD303" s="208"/>
      <c r="SVE303" s="208"/>
      <c r="SVF303" s="208"/>
      <c r="SVG303" s="208"/>
      <c r="SVH303" s="208"/>
      <c r="SVI303" s="208"/>
      <c r="SVJ303" s="208"/>
      <c r="SVK303" s="208"/>
      <c r="SVL303" s="208"/>
      <c r="SVM303" s="208"/>
      <c r="SVN303" s="208"/>
      <c r="SVO303" s="208"/>
      <c r="SVP303" s="208"/>
      <c r="SVQ303" s="208"/>
      <c r="SVR303" s="208"/>
      <c r="SVS303" s="208"/>
      <c r="SVT303" s="208"/>
      <c r="SVU303" s="208"/>
      <c r="SVV303" s="208"/>
      <c r="SVW303" s="208"/>
      <c r="SVX303" s="208"/>
      <c r="SVY303" s="208"/>
      <c r="SVZ303" s="208"/>
      <c r="SWA303" s="208"/>
      <c r="SWB303" s="208"/>
      <c r="SWC303" s="208"/>
      <c r="SWD303" s="208"/>
      <c r="SWE303" s="208"/>
      <c r="SWF303" s="208"/>
      <c r="SWG303" s="208"/>
      <c r="SWH303" s="208"/>
      <c r="SWI303" s="208"/>
      <c r="SWJ303" s="208"/>
      <c r="SWK303" s="208"/>
      <c r="SWL303" s="208"/>
      <c r="SWM303" s="208"/>
      <c r="SWN303" s="208"/>
      <c r="SWO303" s="208"/>
      <c r="SWP303" s="208"/>
      <c r="SWQ303" s="208"/>
      <c r="SWR303" s="208"/>
      <c r="SWS303" s="208"/>
      <c r="SWT303" s="208"/>
      <c r="SWU303" s="208"/>
      <c r="SWV303" s="208"/>
      <c r="SWW303" s="208"/>
      <c r="SWX303" s="208"/>
      <c r="SWY303" s="208"/>
      <c r="SWZ303" s="208"/>
      <c r="SXA303" s="208"/>
      <c r="SXB303" s="208"/>
      <c r="SXC303" s="208"/>
      <c r="SXD303" s="208"/>
      <c r="SXE303" s="208"/>
      <c r="SXF303" s="208"/>
      <c r="SXG303" s="208"/>
      <c r="SXH303" s="208"/>
      <c r="SXI303" s="208"/>
      <c r="SXJ303" s="208"/>
      <c r="SXK303" s="208"/>
      <c r="SXL303" s="208"/>
      <c r="SXM303" s="208"/>
      <c r="SXN303" s="208"/>
      <c r="SXO303" s="208"/>
      <c r="SXP303" s="208"/>
      <c r="SXQ303" s="208"/>
      <c r="SXR303" s="208"/>
      <c r="SXS303" s="208"/>
      <c r="SXT303" s="208"/>
      <c r="SXU303" s="208"/>
      <c r="SXV303" s="208"/>
      <c r="SXW303" s="208"/>
      <c r="SXX303" s="208"/>
      <c r="SXY303" s="208"/>
      <c r="SXZ303" s="208"/>
      <c r="SYA303" s="208"/>
      <c r="SYB303" s="208"/>
      <c r="SYC303" s="208"/>
      <c r="SYD303" s="208"/>
      <c r="SYE303" s="208"/>
      <c r="SYF303" s="208"/>
      <c r="SYG303" s="208"/>
      <c r="SYH303" s="208"/>
      <c r="SYI303" s="208"/>
      <c r="SYJ303" s="208"/>
      <c r="SYK303" s="208"/>
      <c r="SYL303" s="208"/>
      <c r="SYM303" s="208"/>
      <c r="SYN303" s="208"/>
      <c r="SYO303" s="208"/>
      <c r="SYP303" s="208"/>
      <c r="SYQ303" s="208"/>
      <c r="SYR303" s="208"/>
      <c r="SYS303" s="208"/>
      <c r="SYT303" s="208"/>
      <c r="SYU303" s="208"/>
      <c r="SYV303" s="208"/>
      <c r="SYW303" s="208"/>
      <c r="SYX303" s="208"/>
      <c r="SYY303" s="208"/>
      <c r="SYZ303" s="208"/>
      <c r="SZA303" s="208"/>
      <c r="SZB303" s="208"/>
      <c r="SZC303" s="208"/>
      <c r="SZD303" s="208"/>
      <c r="SZE303" s="208"/>
      <c r="SZF303" s="208"/>
      <c r="SZG303" s="208"/>
      <c r="SZH303" s="208"/>
      <c r="SZI303" s="208"/>
      <c r="SZJ303" s="208"/>
      <c r="SZK303" s="208"/>
      <c r="SZL303" s="208"/>
      <c r="SZM303" s="208"/>
      <c r="SZN303" s="208"/>
      <c r="SZO303" s="208"/>
      <c r="SZP303" s="208"/>
      <c r="SZQ303" s="208"/>
      <c r="SZR303" s="208"/>
      <c r="SZS303" s="208"/>
      <c r="SZT303" s="208"/>
      <c r="SZU303" s="208"/>
      <c r="SZV303" s="208"/>
      <c r="SZW303" s="208"/>
      <c r="SZX303" s="208"/>
      <c r="SZY303" s="208"/>
      <c r="SZZ303" s="208"/>
      <c r="TAA303" s="208"/>
      <c r="TAB303" s="208"/>
      <c r="TAC303" s="208"/>
      <c r="TAD303" s="208"/>
      <c r="TAE303" s="208"/>
      <c r="TAF303" s="208"/>
      <c r="TAG303" s="208"/>
      <c r="TAH303" s="208"/>
      <c r="TAI303" s="208"/>
      <c r="TAJ303" s="208"/>
      <c r="TAK303" s="208"/>
      <c r="TAL303" s="208"/>
      <c r="TAM303" s="208"/>
      <c r="TAN303" s="208"/>
      <c r="TAO303" s="208"/>
      <c r="TAP303" s="208"/>
      <c r="TAQ303" s="208"/>
      <c r="TAR303" s="208"/>
      <c r="TAS303" s="208"/>
      <c r="TAT303" s="208"/>
      <c r="TAU303" s="208"/>
      <c r="TAV303" s="208"/>
      <c r="TAW303" s="208"/>
      <c r="TAX303" s="208"/>
      <c r="TAY303" s="208"/>
      <c r="TAZ303" s="208"/>
      <c r="TBA303" s="208"/>
      <c r="TBB303" s="208"/>
      <c r="TBC303" s="208"/>
      <c r="TBD303" s="208"/>
      <c r="TBE303" s="208"/>
      <c r="TBF303" s="208"/>
      <c r="TBG303" s="208"/>
      <c r="TBH303" s="208"/>
      <c r="TBI303" s="208"/>
      <c r="TBJ303" s="208"/>
      <c r="TBK303" s="208"/>
      <c r="TBL303" s="208"/>
      <c r="TBM303" s="208"/>
      <c r="TBN303" s="208"/>
      <c r="TBO303" s="208"/>
      <c r="TBP303" s="208"/>
      <c r="TBQ303" s="208"/>
      <c r="TBR303" s="208"/>
      <c r="TBS303" s="208"/>
      <c r="TBT303" s="208"/>
      <c r="TBU303" s="208"/>
      <c r="TBV303" s="208"/>
      <c r="TBW303" s="208"/>
      <c r="TBX303" s="208"/>
      <c r="TBY303" s="208"/>
      <c r="TBZ303" s="208"/>
      <c r="TCA303" s="208"/>
      <c r="TCB303" s="208"/>
      <c r="TCC303" s="208"/>
      <c r="TCD303" s="208"/>
      <c r="TCE303" s="208"/>
      <c r="TCF303" s="208"/>
      <c r="TCG303" s="208"/>
      <c r="TCH303" s="208"/>
      <c r="TCI303" s="208"/>
      <c r="TCJ303" s="208"/>
      <c r="TCK303" s="208"/>
      <c r="TCL303" s="208"/>
      <c r="TCM303" s="208"/>
      <c r="TCN303" s="208"/>
      <c r="TCO303" s="208"/>
      <c r="TCP303" s="208"/>
      <c r="TCQ303" s="208"/>
      <c r="TCR303" s="208"/>
      <c r="TCS303" s="208"/>
      <c r="TCT303" s="208"/>
      <c r="TCU303" s="208"/>
      <c r="TCV303" s="208"/>
      <c r="TCW303" s="208"/>
      <c r="TCX303" s="208"/>
      <c r="TCY303" s="208"/>
      <c r="TCZ303" s="208"/>
      <c r="TDA303" s="208"/>
      <c r="TDB303" s="208"/>
      <c r="TDC303" s="208"/>
      <c r="TDD303" s="208"/>
      <c r="TDE303" s="208"/>
      <c r="TDF303" s="208"/>
      <c r="TDG303" s="208"/>
      <c r="TDH303" s="208"/>
      <c r="TDI303" s="208"/>
      <c r="TDJ303" s="208"/>
      <c r="TDK303" s="208"/>
      <c r="TDL303" s="208"/>
      <c r="TDM303" s="208"/>
      <c r="TDN303" s="208"/>
      <c r="TDO303" s="208"/>
      <c r="TDP303" s="208"/>
      <c r="TDQ303" s="208"/>
      <c r="TDR303" s="208"/>
      <c r="TDS303" s="208"/>
      <c r="TDT303" s="208"/>
      <c r="TDU303" s="208"/>
      <c r="TDV303" s="208"/>
      <c r="TDW303" s="208"/>
      <c r="TDX303" s="208"/>
      <c r="TDY303" s="208"/>
      <c r="TDZ303" s="208"/>
      <c r="TEA303" s="208"/>
      <c r="TEB303" s="208"/>
      <c r="TEC303" s="208"/>
      <c r="TED303" s="208"/>
      <c r="TEE303" s="208"/>
      <c r="TEF303" s="208"/>
      <c r="TEG303" s="208"/>
      <c r="TEH303" s="208"/>
      <c r="TEI303" s="208"/>
      <c r="TEJ303" s="208"/>
      <c r="TEK303" s="208"/>
      <c r="TEL303" s="208"/>
      <c r="TEM303" s="208"/>
      <c r="TEN303" s="208"/>
      <c r="TEO303" s="208"/>
      <c r="TEP303" s="208"/>
      <c r="TEQ303" s="208"/>
      <c r="TER303" s="208"/>
      <c r="TES303" s="208"/>
      <c r="TET303" s="208"/>
      <c r="TEU303" s="208"/>
      <c r="TEV303" s="208"/>
      <c r="TEW303" s="208"/>
      <c r="TEX303" s="208"/>
      <c r="TEY303" s="208"/>
      <c r="TEZ303" s="208"/>
      <c r="TFA303" s="208"/>
      <c r="TFB303" s="208"/>
      <c r="TFC303" s="208"/>
      <c r="TFD303" s="208"/>
      <c r="TFE303" s="208"/>
      <c r="TFF303" s="208"/>
      <c r="TFG303" s="208"/>
      <c r="TFH303" s="208"/>
      <c r="TFI303" s="208"/>
      <c r="TFJ303" s="208"/>
      <c r="TFK303" s="208"/>
      <c r="TFL303" s="208"/>
      <c r="TFM303" s="208"/>
      <c r="TFN303" s="208"/>
      <c r="TFO303" s="208"/>
      <c r="TFP303" s="208"/>
      <c r="TFQ303" s="208"/>
      <c r="TFR303" s="208"/>
      <c r="TFS303" s="208"/>
      <c r="TFT303" s="208"/>
      <c r="TFU303" s="208"/>
      <c r="TFV303" s="208"/>
      <c r="TFW303" s="208"/>
      <c r="TFX303" s="208"/>
      <c r="TFY303" s="208"/>
      <c r="TFZ303" s="208"/>
      <c r="TGA303" s="208"/>
      <c r="TGB303" s="208"/>
      <c r="TGC303" s="208"/>
      <c r="TGD303" s="208"/>
      <c r="TGE303" s="208"/>
      <c r="TGF303" s="208"/>
      <c r="TGG303" s="208"/>
      <c r="TGH303" s="208"/>
      <c r="TGI303" s="208"/>
      <c r="TGJ303" s="208"/>
      <c r="TGK303" s="208"/>
      <c r="TGL303" s="208"/>
      <c r="TGM303" s="208"/>
      <c r="TGN303" s="208"/>
      <c r="TGO303" s="208"/>
      <c r="TGP303" s="208"/>
      <c r="TGQ303" s="208"/>
      <c r="TGR303" s="208"/>
      <c r="TGS303" s="208"/>
      <c r="TGT303" s="208"/>
      <c r="TGU303" s="208"/>
      <c r="TGV303" s="208"/>
      <c r="TGW303" s="208"/>
      <c r="TGX303" s="208"/>
      <c r="TGY303" s="208"/>
      <c r="TGZ303" s="208"/>
      <c r="THA303" s="208"/>
      <c r="THB303" s="208"/>
      <c r="THC303" s="208"/>
      <c r="THD303" s="208"/>
      <c r="THE303" s="208"/>
      <c r="THF303" s="208"/>
      <c r="THG303" s="208"/>
      <c r="THH303" s="208"/>
      <c r="THI303" s="208"/>
      <c r="THJ303" s="208"/>
      <c r="THK303" s="208"/>
      <c r="THL303" s="208"/>
      <c r="THM303" s="208"/>
      <c r="THN303" s="208"/>
      <c r="THO303" s="208"/>
      <c r="THP303" s="208"/>
      <c r="THQ303" s="208"/>
      <c r="THR303" s="208"/>
      <c r="THS303" s="208"/>
      <c r="THT303" s="208"/>
      <c r="THU303" s="208"/>
      <c r="THV303" s="208"/>
      <c r="THW303" s="208"/>
      <c r="THX303" s="208"/>
      <c r="THY303" s="208"/>
      <c r="THZ303" s="208"/>
      <c r="TIA303" s="208"/>
      <c r="TIB303" s="208"/>
      <c r="TIC303" s="208"/>
      <c r="TID303" s="208"/>
      <c r="TIE303" s="208"/>
      <c r="TIF303" s="208"/>
      <c r="TIG303" s="208"/>
      <c r="TIH303" s="208"/>
      <c r="TII303" s="208"/>
      <c r="TIJ303" s="208"/>
      <c r="TIK303" s="208"/>
      <c r="TIL303" s="208"/>
      <c r="TIM303" s="208"/>
      <c r="TIN303" s="208"/>
      <c r="TIO303" s="208"/>
      <c r="TIP303" s="208"/>
      <c r="TIQ303" s="208"/>
      <c r="TIR303" s="208"/>
      <c r="TIS303" s="208"/>
      <c r="TIT303" s="208"/>
      <c r="TIU303" s="208"/>
      <c r="TIV303" s="208"/>
      <c r="TIW303" s="208"/>
      <c r="TIX303" s="208"/>
      <c r="TIY303" s="208"/>
      <c r="TIZ303" s="208"/>
      <c r="TJA303" s="208"/>
      <c r="TJB303" s="208"/>
      <c r="TJC303" s="208"/>
      <c r="TJD303" s="208"/>
      <c r="TJE303" s="208"/>
      <c r="TJF303" s="208"/>
      <c r="TJG303" s="208"/>
      <c r="TJH303" s="208"/>
      <c r="TJI303" s="208"/>
      <c r="TJJ303" s="208"/>
      <c r="TJK303" s="208"/>
      <c r="TJL303" s="208"/>
      <c r="TJM303" s="208"/>
      <c r="TJN303" s="208"/>
      <c r="TJO303" s="208"/>
      <c r="TJP303" s="208"/>
      <c r="TJQ303" s="208"/>
      <c r="TJR303" s="208"/>
      <c r="TJS303" s="208"/>
      <c r="TJT303" s="208"/>
      <c r="TJU303" s="208"/>
      <c r="TJV303" s="208"/>
      <c r="TJW303" s="208"/>
      <c r="TJX303" s="208"/>
      <c r="TJY303" s="208"/>
      <c r="TJZ303" s="208"/>
      <c r="TKA303" s="208"/>
      <c r="TKB303" s="208"/>
      <c r="TKC303" s="208"/>
      <c r="TKD303" s="208"/>
      <c r="TKE303" s="208"/>
      <c r="TKF303" s="208"/>
      <c r="TKG303" s="208"/>
      <c r="TKH303" s="208"/>
      <c r="TKI303" s="208"/>
      <c r="TKJ303" s="208"/>
      <c r="TKK303" s="208"/>
      <c r="TKL303" s="208"/>
      <c r="TKM303" s="208"/>
      <c r="TKN303" s="208"/>
      <c r="TKO303" s="208"/>
      <c r="TKP303" s="208"/>
      <c r="TKQ303" s="208"/>
      <c r="TKR303" s="208"/>
      <c r="TKS303" s="208"/>
      <c r="TKT303" s="208"/>
      <c r="TKU303" s="208"/>
      <c r="TKV303" s="208"/>
      <c r="TKW303" s="208"/>
      <c r="TKX303" s="208"/>
      <c r="TKY303" s="208"/>
      <c r="TKZ303" s="208"/>
      <c r="TLA303" s="208"/>
      <c r="TLB303" s="208"/>
      <c r="TLC303" s="208"/>
      <c r="TLD303" s="208"/>
      <c r="TLE303" s="208"/>
      <c r="TLF303" s="208"/>
      <c r="TLG303" s="208"/>
      <c r="TLH303" s="208"/>
      <c r="TLI303" s="208"/>
      <c r="TLJ303" s="208"/>
      <c r="TLK303" s="208"/>
      <c r="TLL303" s="208"/>
      <c r="TLM303" s="208"/>
      <c r="TLN303" s="208"/>
      <c r="TLO303" s="208"/>
      <c r="TLP303" s="208"/>
      <c r="TLQ303" s="208"/>
      <c r="TLR303" s="208"/>
      <c r="TLS303" s="208"/>
      <c r="TLT303" s="208"/>
      <c r="TLU303" s="208"/>
      <c r="TLV303" s="208"/>
      <c r="TLW303" s="208"/>
      <c r="TLX303" s="208"/>
      <c r="TLY303" s="208"/>
      <c r="TLZ303" s="208"/>
      <c r="TMA303" s="208"/>
      <c r="TMB303" s="208"/>
      <c r="TMC303" s="208"/>
      <c r="TMD303" s="208"/>
      <c r="TME303" s="208"/>
      <c r="TMF303" s="208"/>
      <c r="TMG303" s="208"/>
      <c r="TMH303" s="208"/>
      <c r="TMI303" s="208"/>
      <c r="TMJ303" s="208"/>
      <c r="TMK303" s="208"/>
      <c r="TML303" s="208"/>
      <c r="TMM303" s="208"/>
      <c r="TMN303" s="208"/>
      <c r="TMO303" s="208"/>
      <c r="TMP303" s="208"/>
      <c r="TMQ303" s="208"/>
      <c r="TMR303" s="208"/>
      <c r="TMS303" s="208"/>
      <c r="TMT303" s="208"/>
      <c r="TMU303" s="208"/>
      <c r="TMV303" s="208"/>
      <c r="TMW303" s="208"/>
      <c r="TMX303" s="208"/>
      <c r="TMY303" s="208"/>
      <c r="TMZ303" s="208"/>
      <c r="TNA303" s="208"/>
      <c r="TNB303" s="208"/>
      <c r="TNC303" s="208"/>
      <c r="TND303" s="208"/>
      <c r="TNE303" s="208"/>
      <c r="TNF303" s="208"/>
      <c r="TNG303" s="208"/>
      <c r="TNH303" s="208"/>
      <c r="TNI303" s="208"/>
      <c r="TNJ303" s="208"/>
      <c r="TNK303" s="208"/>
      <c r="TNL303" s="208"/>
      <c r="TNM303" s="208"/>
      <c r="TNN303" s="208"/>
      <c r="TNO303" s="208"/>
      <c r="TNP303" s="208"/>
      <c r="TNQ303" s="208"/>
      <c r="TNR303" s="208"/>
      <c r="TNS303" s="208"/>
      <c r="TNT303" s="208"/>
      <c r="TNU303" s="208"/>
      <c r="TNV303" s="208"/>
      <c r="TNW303" s="208"/>
      <c r="TNX303" s="208"/>
      <c r="TNY303" s="208"/>
      <c r="TNZ303" s="208"/>
      <c r="TOA303" s="208"/>
      <c r="TOB303" s="208"/>
      <c r="TOC303" s="208"/>
      <c r="TOD303" s="208"/>
      <c r="TOE303" s="208"/>
      <c r="TOF303" s="208"/>
      <c r="TOG303" s="208"/>
      <c r="TOH303" s="208"/>
      <c r="TOI303" s="208"/>
      <c r="TOJ303" s="208"/>
      <c r="TOK303" s="208"/>
      <c r="TOL303" s="208"/>
      <c r="TOM303" s="208"/>
      <c r="TON303" s="208"/>
      <c r="TOO303" s="208"/>
      <c r="TOP303" s="208"/>
      <c r="TOQ303" s="208"/>
      <c r="TOR303" s="208"/>
      <c r="TOS303" s="208"/>
      <c r="TOT303" s="208"/>
      <c r="TOU303" s="208"/>
      <c r="TOV303" s="208"/>
      <c r="TOW303" s="208"/>
      <c r="TOX303" s="208"/>
      <c r="TOY303" s="208"/>
      <c r="TOZ303" s="208"/>
      <c r="TPA303" s="208"/>
      <c r="TPB303" s="208"/>
      <c r="TPC303" s="208"/>
      <c r="TPD303" s="208"/>
      <c r="TPE303" s="208"/>
      <c r="TPF303" s="208"/>
      <c r="TPG303" s="208"/>
      <c r="TPH303" s="208"/>
      <c r="TPI303" s="208"/>
      <c r="TPJ303" s="208"/>
      <c r="TPK303" s="208"/>
      <c r="TPL303" s="208"/>
      <c r="TPM303" s="208"/>
      <c r="TPN303" s="208"/>
      <c r="TPO303" s="208"/>
      <c r="TPP303" s="208"/>
      <c r="TPQ303" s="208"/>
      <c r="TPR303" s="208"/>
      <c r="TPS303" s="208"/>
      <c r="TPT303" s="208"/>
      <c r="TPU303" s="208"/>
      <c r="TPV303" s="208"/>
      <c r="TPW303" s="208"/>
      <c r="TPX303" s="208"/>
      <c r="TPY303" s="208"/>
      <c r="TPZ303" s="208"/>
      <c r="TQA303" s="208"/>
      <c r="TQB303" s="208"/>
      <c r="TQC303" s="208"/>
      <c r="TQD303" s="208"/>
      <c r="TQE303" s="208"/>
      <c r="TQF303" s="208"/>
      <c r="TQG303" s="208"/>
      <c r="TQH303" s="208"/>
      <c r="TQI303" s="208"/>
      <c r="TQJ303" s="208"/>
      <c r="TQK303" s="208"/>
      <c r="TQL303" s="208"/>
      <c r="TQM303" s="208"/>
      <c r="TQN303" s="208"/>
      <c r="TQO303" s="208"/>
      <c r="TQP303" s="208"/>
      <c r="TQQ303" s="208"/>
      <c r="TQR303" s="208"/>
      <c r="TQS303" s="208"/>
      <c r="TQT303" s="208"/>
      <c r="TQU303" s="208"/>
      <c r="TQV303" s="208"/>
      <c r="TQW303" s="208"/>
      <c r="TQX303" s="208"/>
      <c r="TQY303" s="208"/>
      <c r="TQZ303" s="208"/>
      <c r="TRA303" s="208"/>
      <c r="TRB303" s="208"/>
      <c r="TRC303" s="208"/>
      <c r="TRD303" s="208"/>
      <c r="TRE303" s="208"/>
      <c r="TRF303" s="208"/>
      <c r="TRG303" s="208"/>
      <c r="TRH303" s="208"/>
      <c r="TRI303" s="208"/>
      <c r="TRJ303" s="208"/>
      <c r="TRK303" s="208"/>
      <c r="TRL303" s="208"/>
      <c r="TRM303" s="208"/>
      <c r="TRN303" s="208"/>
      <c r="TRO303" s="208"/>
      <c r="TRP303" s="208"/>
      <c r="TRQ303" s="208"/>
      <c r="TRR303" s="208"/>
      <c r="TRS303" s="208"/>
      <c r="TRT303" s="208"/>
      <c r="TRU303" s="208"/>
      <c r="TRV303" s="208"/>
      <c r="TRW303" s="208"/>
      <c r="TRX303" s="208"/>
      <c r="TRY303" s="208"/>
      <c r="TRZ303" s="208"/>
      <c r="TSA303" s="208"/>
      <c r="TSB303" s="208"/>
      <c r="TSC303" s="208"/>
      <c r="TSD303" s="208"/>
      <c r="TSE303" s="208"/>
      <c r="TSF303" s="208"/>
      <c r="TSG303" s="208"/>
      <c r="TSH303" s="208"/>
      <c r="TSI303" s="208"/>
      <c r="TSJ303" s="208"/>
      <c r="TSK303" s="208"/>
      <c r="TSL303" s="208"/>
      <c r="TSM303" s="208"/>
      <c r="TSN303" s="208"/>
      <c r="TSO303" s="208"/>
      <c r="TSP303" s="208"/>
      <c r="TSQ303" s="208"/>
      <c r="TSR303" s="208"/>
      <c r="TSS303" s="208"/>
      <c r="TST303" s="208"/>
      <c r="TSU303" s="208"/>
      <c r="TSV303" s="208"/>
      <c r="TSW303" s="208"/>
      <c r="TSX303" s="208"/>
      <c r="TSY303" s="208"/>
      <c r="TSZ303" s="208"/>
      <c r="TTA303" s="208"/>
      <c r="TTB303" s="208"/>
      <c r="TTC303" s="208"/>
      <c r="TTD303" s="208"/>
      <c r="TTE303" s="208"/>
      <c r="TTF303" s="208"/>
      <c r="TTG303" s="208"/>
      <c r="TTH303" s="208"/>
      <c r="TTI303" s="208"/>
      <c r="TTJ303" s="208"/>
      <c r="TTK303" s="208"/>
      <c r="TTL303" s="208"/>
      <c r="TTM303" s="208"/>
      <c r="TTN303" s="208"/>
      <c r="TTO303" s="208"/>
      <c r="TTP303" s="208"/>
      <c r="TTQ303" s="208"/>
      <c r="TTR303" s="208"/>
      <c r="TTS303" s="208"/>
      <c r="TTT303" s="208"/>
      <c r="TTU303" s="208"/>
      <c r="TTV303" s="208"/>
      <c r="TTW303" s="208"/>
      <c r="TTX303" s="208"/>
      <c r="TTY303" s="208"/>
      <c r="TTZ303" s="208"/>
      <c r="TUA303" s="208"/>
      <c r="TUB303" s="208"/>
      <c r="TUC303" s="208"/>
      <c r="TUD303" s="208"/>
      <c r="TUE303" s="208"/>
      <c r="TUF303" s="208"/>
      <c r="TUG303" s="208"/>
      <c r="TUH303" s="208"/>
      <c r="TUI303" s="208"/>
      <c r="TUJ303" s="208"/>
      <c r="TUK303" s="208"/>
      <c r="TUL303" s="208"/>
      <c r="TUM303" s="208"/>
      <c r="TUN303" s="208"/>
      <c r="TUO303" s="208"/>
      <c r="TUP303" s="208"/>
      <c r="TUQ303" s="208"/>
      <c r="TUR303" s="208"/>
      <c r="TUS303" s="208"/>
      <c r="TUT303" s="208"/>
      <c r="TUU303" s="208"/>
      <c r="TUV303" s="208"/>
      <c r="TUW303" s="208"/>
      <c r="TUX303" s="208"/>
      <c r="TUY303" s="208"/>
      <c r="TUZ303" s="208"/>
      <c r="TVA303" s="208"/>
      <c r="TVB303" s="208"/>
      <c r="TVC303" s="208"/>
      <c r="TVD303" s="208"/>
      <c r="TVE303" s="208"/>
      <c r="TVF303" s="208"/>
      <c r="TVG303" s="208"/>
      <c r="TVH303" s="208"/>
      <c r="TVI303" s="208"/>
      <c r="TVJ303" s="208"/>
      <c r="TVK303" s="208"/>
      <c r="TVL303" s="208"/>
      <c r="TVM303" s="208"/>
      <c r="TVN303" s="208"/>
      <c r="TVO303" s="208"/>
      <c r="TVP303" s="208"/>
      <c r="TVQ303" s="208"/>
      <c r="TVR303" s="208"/>
      <c r="TVS303" s="208"/>
      <c r="TVT303" s="208"/>
      <c r="TVU303" s="208"/>
      <c r="TVV303" s="208"/>
      <c r="TVW303" s="208"/>
      <c r="TVX303" s="208"/>
      <c r="TVY303" s="208"/>
      <c r="TVZ303" s="208"/>
      <c r="TWA303" s="208"/>
      <c r="TWB303" s="208"/>
      <c r="TWC303" s="208"/>
      <c r="TWD303" s="208"/>
      <c r="TWE303" s="208"/>
      <c r="TWF303" s="208"/>
      <c r="TWG303" s="208"/>
      <c r="TWH303" s="208"/>
      <c r="TWI303" s="208"/>
      <c r="TWJ303" s="208"/>
      <c r="TWK303" s="208"/>
      <c r="TWL303" s="208"/>
      <c r="TWM303" s="208"/>
      <c r="TWN303" s="208"/>
      <c r="TWO303" s="208"/>
      <c r="TWP303" s="208"/>
      <c r="TWQ303" s="208"/>
      <c r="TWR303" s="208"/>
      <c r="TWS303" s="208"/>
      <c r="TWT303" s="208"/>
      <c r="TWU303" s="208"/>
      <c r="TWV303" s="208"/>
      <c r="TWW303" s="208"/>
      <c r="TWX303" s="208"/>
      <c r="TWY303" s="208"/>
      <c r="TWZ303" s="208"/>
      <c r="TXA303" s="208"/>
      <c r="TXB303" s="208"/>
      <c r="TXC303" s="208"/>
      <c r="TXD303" s="208"/>
      <c r="TXE303" s="208"/>
      <c r="TXF303" s="208"/>
      <c r="TXG303" s="208"/>
      <c r="TXH303" s="208"/>
      <c r="TXI303" s="208"/>
      <c r="TXJ303" s="208"/>
      <c r="TXK303" s="208"/>
      <c r="TXL303" s="208"/>
      <c r="TXM303" s="208"/>
      <c r="TXN303" s="208"/>
      <c r="TXO303" s="208"/>
      <c r="TXP303" s="208"/>
      <c r="TXQ303" s="208"/>
      <c r="TXR303" s="208"/>
      <c r="TXS303" s="208"/>
      <c r="TXT303" s="208"/>
      <c r="TXU303" s="208"/>
      <c r="TXV303" s="208"/>
      <c r="TXW303" s="208"/>
      <c r="TXX303" s="208"/>
      <c r="TXY303" s="208"/>
      <c r="TXZ303" s="208"/>
      <c r="TYA303" s="208"/>
      <c r="TYB303" s="208"/>
      <c r="TYC303" s="208"/>
      <c r="TYD303" s="208"/>
      <c r="TYE303" s="208"/>
      <c r="TYF303" s="208"/>
      <c r="TYG303" s="208"/>
      <c r="TYH303" s="208"/>
      <c r="TYI303" s="208"/>
      <c r="TYJ303" s="208"/>
      <c r="TYK303" s="208"/>
      <c r="TYL303" s="208"/>
      <c r="TYM303" s="208"/>
      <c r="TYN303" s="208"/>
      <c r="TYO303" s="208"/>
      <c r="TYP303" s="208"/>
      <c r="TYQ303" s="208"/>
      <c r="TYR303" s="208"/>
      <c r="TYS303" s="208"/>
      <c r="TYT303" s="208"/>
      <c r="TYU303" s="208"/>
      <c r="TYV303" s="208"/>
      <c r="TYW303" s="208"/>
      <c r="TYX303" s="208"/>
      <c r="TYY303" s="208"/>
      <c r="TYZ303" s="208"/>
      <c r="TZA303" s="208"/>
      <c r="TZB303" s="208"/>
      <c r="TZC303" s="208"/>
      <c r="TZD303" s="208"/>
      <c r="TZE303" s="208"/>
      <c r="TZF303" s="208"/>
      <c r="TZG303" s="208"/>
      <c r="TZH303" s="208"/>
      <c r="TZI303" s="208"/>
      <c r="TZJ303" s="208"/>
      <c r="TZK303" s="208"/>
      <c r="TZL303" s="208"/>
      <c r="TZM303" s="208"/>
      <c r="TZN303" s="208"/>
      <c r="TZO303" s="208"/>
      <c r="TZP303" s="208"/>
      <c r="TZQ303" s="208"/>
      <c r="TZR303" s="208"/>
      <c r="TZS303" s="208"/>
      <c r="TZT303" s="208"/>
      <c r="TZU303" s="208"/>
      <c r="TZV303" s="208"/>
      <c r="TZW303" s="208"/>
      <c r="TZX303" s="208"/>
      <c r="TZY303" s="208"/>
      <c r="TZZ303" s="208"/>
      <c r="UAA303" s="208"/>
      <c r="UAB303" s="208"/>
      <c r="UAC303" s="208"/>
      <c r="UAD303" s="208"/>
      <c r="UAE303" s="208"/>
      <c r="UAF303" s="208"/>
      <c r="UAG303" s="208"/>
      <c r="UAH303" s="208"/>
      <c r="UAI303" s="208"/>
      <c r="UAJ303" s="208"/>
      <c r="UAK303" s="208"/>
      <c r="UAL303" s="208"/>
      <c r="UAM303" s="208"/>
      <c r="UAN303" s="208"/>
      <c r="UAO303" s="208"/>
      <c r="UAP303" s="208"/>
      <c r="UAQ303" s="208"/>
      <c r="UAR303" s="208"/>
      <c r="UAS303" s="208"/>
      <c r="UAT303" s="208"/>
      <c r="UAU303" s="208"/>
      <c r="UAV303" s="208"/>
      <c r="UAW303" s="208"/>
      <c r="UAX303" s="208"/>
      <c r="UAY303" s="208"/>
      <c r="UAZ303" s="208"/>
      <c r="UBA303" s="208"/>
      <c r="UBB303" s="208"/>
      <c r="UBC303" s="208"/>
      <c r="UBD303" s="208"/>
      <c r="UBE303" s="208"/>
      <c r="UBF303" s="208"/>
      <c r="UBG303" s="208"/>
      <c r="UBH303" s="208"/>
      <c r="UBI303" s="208"/>
      <c r="UBJ303" s="208"/>
      <c r="UBK303" s="208"/>
      <c r="UBL303" s="208"/>
      <c r="UBM303" s="208"/>
      <c r="UBN303" s="208"/>
      <c r="UBO303" s="208"/>
      <c r="UBP303" s="208"/>
      <c r="UBQ303" s="208"/>
      <c r="UBR303" s="208"/>
      <c r="UBS303" s="208"/>
      <c r="UBT303" s="208"/>
      <c r="UBU303" s="208"/>
      <c r="UBV303" s="208"/>
      <c r="UBW303" s="208"/>
      <c r="UBX303" s="208"/>
      <c r="UBY303" s="208"/>
      <c r="UBZ303" s="208"/>
      <c r="UCA303" s="208"/>
      <c r="UCB303" s="208"/>
      <c r="UCC303" s="208"/>
      <c r="UCD303" s="208"/>
      <c r="UCE303" s="208"/>
      <c r="UCF303" s="208"/>
      <c r="UCG303" s="208"/>
      <c r="UCH303" s="208"/>
      <c r="UCI303" s="208"/>
      <c r="UCJ303" s="208"/>
      <c r="UCK303" s="208"/>
      <c r="UCL303" s="208"/>
      <c r="UCM303" s="208"/>
      <c r="UCN303" s="208"/>
      <c r="UCO303" s="208"/>
      <c r="UCP303" s="208"/>
      <c r="UCQ303" s="208"/>
      <c r="UCR303" s="208"/>
      <c r="UCS303" s="208"/>
      <c r="UCT303" s="208"/>
      <c r="UCU303" s="208"/>
      <c r="UCV303" s="208"/>
      <c r="UCW303" s="208"/>
      <c r="UCX303" s="208"/>
      <c r="UCY303" s="208"/>
      <c r="UCZ303" s="208"/>
      <c r="UDA303" s="208"/>
      <c r="UDB303" s="208"/>
      <c r="UDC303" s="208"/>
      <c r="UDD303" s="208"/>
      <c r="UDE303" s="208"/>
      <c r="UDF303" s="208"/>
      <c r="UDG303" s="208"/>
      <c r="UDH303" s="208"/>
      <c r="UDI303" s="208"/>
      <c r="UDJ303" s="208"/>
      <c r="UDK303" s="208"/>
      <c r="UDL303" s="208"/>
      <c r="UDM303" s="208"/>
      <c r="UDN303" s="208"/>
      <c r="UDO303" s="208"/>
      <c r="UDP303" s="208"/>
      <c r="UDQ303" s="208"/>
      <c r="UDR303" s="208"/>
      <c r="UDS303" s="208"/>
      <c r="UDT303" s="208"/>
      <c r="UDU303" s="208"/>
      <c r="UDV303" s="208"/>
      <c r="UDW303" s="208"/>
      <c r="UDX303" s="208"/>
      <c r="UDY303" s="208"/>
      <c r="UDZ303" s="208"/>
      <c r="UEA303" s="208"/>
      <c r="UEB303" s="208"/>
      <c r="UEC303" s="208"/>
      <c r="UED303" s="208"/>
      <c r="UEE303" s="208"/>
      <c r="UEF303" s="208"/>
      <c r="UEG303" s="208"/>
      <c r="UEH303" s="208"/>
      <c r="UEI303" s="208"/>
      <c r="UEJ303" s="208"/>
      <c r="UEK303" s="208"/>
      <c r="UEL303" s="208"/>
      <c r="UEM303" s="208"/>
      <c r="UEN303" s="208"/>
      <c r="UEO303" s="208"/>
      <c r="UEP303" s="208"/>
      <c r="UEQ303" s="208"/>
      <c r="UER303" s="208"/>
      <c r="UES303" s="208"/>
      <c r="UET303" s="208"/>
      <c r="UEU303" s="208"/>
      <c r="UEV303" s="208"/>
      <c r="UEW303" s="208"/>
      <c r="UEX303" s="208"/>
      <c r="UEY303" s="208"/>
      <c r="UEZ303" s="208"/>
      <c r="UFA303" s="208"/>
      <c r="UFB303" s="208"/>
      <c r="UFC303" s="208"/>
      <c r="UFD303" s="208"/>
      <c r="UFE303" s="208"/>
      <c r="UFF303" s="208"/>
      <c r="UFG303" s="208"/>
      <c r="UFH303" s="208"/>
      <c r="UFI303" s="208"/>
      <c r="UFJ303" s="208"/>
      <c r="UFK303" s="208"/>
      <c r="UFL303" s="208"/>
      <c r="UFM303" s="208"/>
      <c r="UFN303" s="208"/>
      <c r="UFO303" s="208"/>
      <c r="UFP303" s="208"/>
      <c r="UFQ303" s="208"/>
      <c r="UFR303" s="208"/>
      <c r="UFS303" s="208"/>
      <c r="UFT303" s="208"/>
      <c r="UFU303" s="208"/>
      <c r="UFV303" s="208"/>
      <c r="UFW303" s="208"/>
      <c r="UFX303" s="208"/>
      <c r="UFY303" s="208"/>
      <c r="UFZ303" s="208"/>
      <c r="UGA303" s="208"/>
      <c r="UGB303" s="208"/>
      <c r="UGC303" s="208"/>
      <c r="UGD303" s="208"/>
      <c r="UGE303" s="208"/>
      <c r="UGF303" s="208"/>
      <c r="UGG303" s="208"/>
      <c r="UGH303" s="208"/>
      <c r="UGI303" s="208"/>
      <c r="UGJ303" s="208"/>
      <c r="UGK303" s="208"/>
      <c r="UGL303" s="208"/>
      <c r="UGM303" s="208"/>
      <c r="UGN303" s="208"/>
      <c r="UGO303" s="208"/>
      <c r="UGP303" s="208"/>
      <c r="UGQ303" s="208"/>
      <c r="UGR303" s="208"/>
      <c r="UGS303" s="208"/>
      <c r="UGT303" s="208"/>
      <c r="UGU303" s="208"/>
      <c r="UGV303" s="208"/>
      <c r="UGW303" s="208"/>
      <c r="UGX303" s="208"/>
      <c r="UGY303" s="208"/>
      <c r="UGZ303" s="208"/>
      <c r="UHA303" s="208"/>
      <c r="UHB303" s="208"/>
      <c r="UHC303" s="208"/>
      <c r="UHD303" s="208"/>
      <c r="UHE303" s="208"/>
      <c r="UHF303" s="208"/>
      <c r="UHG303" s="208"/>
      <c r="UHH303" s="208"/>
      <c r="UHI303" s="208"/>
      <c r="UHJ303" s="208"/>
      <c r="UHK303" s="208"/>
      <c r="UHL303" s="208"/>
      <c r="UHM303" s="208"/>
      <c r="UHN303" s="208"/>
      <c r="UHO303" s="208"/>
      <c r="UHP303" s="208"/>
      <c r="UHQ303" s="208"/>
      <c r="UHR303" s="208"/>
      <c r="UHS303" s="208"/>
      <c r="UHT303" s="208"/>
      <c r="UHU303" s="208"/>
      <c r="UHV303" s="208"/>
      <c r="UHW303" s="208"/>
      <c r="UHX303" s="208"/>
      <c r="UHY303" s="208"/>
      <c r="UHZ303" s="208"/>
      <c r="UIA303" s="208"/>
      <c r="UIB303" s="208"/>
      <c r="UIC303" s="208"/>
      <c r="UID303" s="208"/>
      <c r="UIE303" s="208"/>
      <c r="UIF303" s="208"/>
      <c r="UIG303" s="208"/>
      <c r="UIH303" s="208"/>
      <c r="UII303" s="208"/>
      <c r="UIJ303" s="208"/>
      <c r="UIK303" s="208"/>
      <c r="UIL303" s="208"/>
      <c r="UIM303" s="208"/>
      <c r="UIN303" s="208"/>
      <c r="UIO303" s="208"/>
      <c r="UIP303" s="208"/>
      <c r="UIQ303" s="208"/>
      <c r="UIR303" s="208"/>
      <c r="UIS303" s="208"/>
      <c r="UIT303" s="208"/>
      <c r="UIU303" s="208"/>
      <c r="UIV303" s="208"/>
      <c r="UIW303" s="208"/>
      <c r="UIX303" s="208"/>
      <c r="UIY303" s="208"/>
      <c r="UIZ303" s="208"/>
      <c r="UJA303" s="208"/>
      <c r="UJB303" s="208"/>
      <c r="UJC303" s="208"/>
      <c r="UJD303" s="208"/>
      <c r="UJE303" s="208"/>
      <c r="UJF303" s="208"/>
      <c r="UJG303" s="208"/>
      <c r="UJH303" s="208"/>
      <c r="UJI303" s="208"/>
      <c r="UJJ303" s="208"/>
      <c r="UJK303" s="208"/>
      <c r="UJL303" s="208"/>
      <c r="UJM303" s="208"/>
      <c r="UJN303" s="208"/>
      <c r="UJO303" s="208"/>
      <c r="UJP303" s="208"/>
      <c r="UJQ303" s="208"/>
      <c r="UJR303" s="208"/>
      <c r="UJS303" s="208"/>
      <c r="UJT303" s="208"/>
      <c r="UJU303" s="208"/>
      <c r="UJV303" s="208"/>
      <c r="UJW303" s="208"/>
      <c r="UJX303" s="208"/>
      <c r="UJY303" s="208"/>
      <c r="UJZ303" s="208"/>
      <c r="UKA303" s="208"/>
      <c r="UKB303" s="208"/>
      <c r="UKC303" s="208"/>
      <c r="UKD303" s="208"/>
      <c r="UKE303" s="208"/>
      <c r="UKF303" s="208"/>
      <c r="UKG303" s="208"/>
      <c r="UKH303" s="208"/>
      <c r="UKI303" s="208"/>
      <c r="UKJ303" s="208"/>
      <c r="UKK303" s="208"/>
      <c r="UKL303" s="208"/>
      <c r="UKM303" s="208"/>
      <c r="UKN303" s="208"/>
      <c r="UKO303" s="208"/>
      <c r="UKP303" s="208"/>
      <c r="UKQ303" s="208"/>
      <c r="UKR303" s="208"/>
      <c r="UKS303" s="208"/>
      <c r="UKT303" s="208"/>
      <c r="UKU303" s="208"/>
      <c r="UKV303" s="208"/>
      <c r="UKW303" s="208"/>
      <c r="UKX303" s="208"/>
      <c r="UKY303" s="208"/>
      <c r="UKZ303" s="208"/>
      <c r="ULA303" s="208"/>
      <c r="ULB303" s="208"/>
      <c r="ULC303" s="208"/>
      <c r="ULD303" s="208"/>
      <c r="ULE303" s="208"/>
      <c r="ULF303" s="208"/>
      <c r="ULG303" s="208"/>
      <c r="ULH303" s="208"/>
      <c r="ULI303" s="208"/>
      <c r="ULJ303" s="208"/>
      <c r="ULK303" s="208"/>
      <c r="ULL303" s="208"/>
      <c r="ULM303" s="208"/>
      <c r="ULN303" s="208"/>
      <c r="ULO303" s="208"/>
      <c r="ULP303" s="208"/>
      <c r="ULQ303" s="208"/>
      <c r="ULR303" s="208"/>
      <c r="ULS303" s="208"/>
      <c r="ULT303" s="208"/>
      <c r="ULU303" s="208"/>
      <c r="ULV303" s="208"/>
      <c r="ULW303" s="208"/>
      <c r="ULX303" s="208"/>
      <c r="ULY303" s="208"/>
      <c r="ULZ303" s="208"/>
      <c r="UMA303" s="208"/>
      <c r="UMB303" s="208"/>
      <c r="UMC303" s="208"/>
      <c r="UMD303" s="208"/>
      <c r="UME303" s="208"/>
      <c r="UMF303" s="208"/>
      <c r="UMG303" s="208"/>
      <c r="UMH303" s="208"/>
      <c r="UMI303" s="208"/>
      <c r="UMJ303" s="208"/>
      <c r="UMK303" s="208"/>
      <c r="UML303" s="208"/>
      <c r="UMM303" s="208"/>
      <c r="UMN303" s="208"/>
      <c r="UMO303" s="208"/>
      <c r="UMP303" s="208"/>
      <c r="UMQ303" s="208"/>
      <c r="UMR303" s="208"/>
      <c r="UMS303" s="208"/>
      <c r="UMT303" s="208"/>
      <c r="UMU303" s="208"/>
      <c r="UMV303" s="208"/>
      <c r="UMW303" s="208"/>
      <c r="UMX303" s="208"/>
      <c r="UMY303" s="208"/>
      <c r="UMZ303" s="208"/>
      <c r="UNA303" s="208"/>
      <c r="UNB303" s="208"/>
      <c r="UNC303" s="208"/>
      <c r="UND303" s="208"/>
      <c r="UNE303" s="208"/>
      <c r="UNF303" s="208"/>
      <c r="UNG303" s="208"/>
      <c r="UNH303" s="208"/>
      <c r="UNI303" s="208"/>
      <c r="UNJ303" s="208"/>
      <c r="UNK303" s="208"/>
      <c r="UNL303" s="208"/>
      <c r="UNM303" s="208"/>
      <c r="UNN303" s="208"/>
      <c r="UNO303" s="208"/>
      <c r="UNP303" s="208"/>
      <c r="UNQ303" s="208"/>
      <c r="UNR303" s="208"/>
      <c r="UNS303" s="208"/>
      <c r="UNT303" s="208"/>
      <c r="UNU303" s="208"/>
      <c r="UNV303" s="208"/>
      <c r="UNW303" s="208"/>
      <c r="UNX303" s="208"/>
      <c r="UNY303" s="208"/>
      <c r="UNZ303" s="208"/>
      <c r="UOA303" s="208"/>
      <c r="UOB303" s="208"/>
      <c r="UOC303" s="208"/>
      <c r="UOD303" s="208"/>
      <c r="UOE303" s="208"/>
      <c r="UOF303" s="208"/>
      <c r="UOG303" s="208"/>
      <c r="UOH303" s="208"/>
      <c r="UOI303" s="208"/>
      <c r="UOJ303" s="208"/>
      <c r="UOK303" s="208"/>
      <c r="UOL303" s="208"/>
      <c r="UOM303" s="208"/>
      <c r="UON303" s="208"/>
      <c r="UOO303" s="208"/>
      <c r="UOP303" s="208"/>
      <c r="UOQ303" s="208"/>
      <c r="UOR303" s="208"/>
      <c r="UOS303" s="208"/>
      <c r="UOT303" s="208"/>
      <c r="UOU303" s="208"/>
      <c r="UOV303" s="208"/>
      <c r="UOW303" s="208"/>
      <c r="UOX303" s="208"/>
      <c r="UOY303" s="208"/>
      <c r="UOZ303" s="208"/>
      <c r="UPA303" s="208"/>
      <c r="UPB303" s="208"/>
      <c r="UPC303" s="208"/>
      <c r="UPD303" s="208"/>
      <c r="UPE303" s="208"/>
      <c r="UPF303" s="208"/>
      <c r="UPG303" s="208"/>
      <c r="UPH303" s="208"/>
      <c r="UPI303" s="208"/>
      <c r="UPJ303" s="208"/>
      <c r="UPK303" s="208"/>
      <c r="UPL303" s="208"/>
      <c r="UPM303" s="208"/>
      <c r="UPN303" s="208"/>
      <c r="UPO303" s="208"/>
      <c r="UPP303" s="208"/>
      <c r="UPQ303" s="208"/>
      <c r="UPR303" s="208"/>
      <c r="UPS303" s="208"/>
      <c r="UPT303" s="208"/>
      <c r="UPU303" s="208"/>
      <c r="UPV303" s="208"/>
      <c r="UPW303" s="208"/>
      <c r="UPX303" s="208"/>
      <c r="UPY303" s="208"/>
      <c r="UPZ303" s="208"/>
      <c r="UQA303" s="208"/>
      <c r="UQB303" s="208"/>
      <c r="UQC303" s="208"/>
      <c r="UQD303" s="208"/>
      <c r="UQE303" s="208"/>
      <c r="UQF303" s="208"/>
      <c r="UQG303" s="208"/>
      <c r="UQH303" s="208"/>
      <c r="UQI303" s="208"/>
      <c r="UQJ303" s="208"/>
      <c r="UQK303" s="208"/>
      <c r="UQL303" s="208"/>
      <c r="UQM303" s="208"/>
      <c r="UQN303" s="208"/>
      <c r="UQO303" s="208"/>
      <c r="UQP303" s="208"/>
      <c r="UQQ303" s="208"/>
      <c r="UQR303" s="208"/>
      <c r="UQS303" s="208"/>
      <c r="UQT303" s="208"/>
      <c r="UQU303" s="208"/>
      <c r="UQV303" s="208"/>
      <c r="UQW303" s="208"/>
      <c r="UQX303" s="208"/>
      <c r="UQY303" s="208"/>
      <c r="UQZ303" s="208"/>
      <c r="URA303" s="208"/>
      <c r="URB303" s="208"/>
      <c r="URC303" s="208"/>
      <c r="URD303" s="208"/>
      <c r="URE303" s="208"/>
      <c r="URF303" s="208"/>
      <c r="URG303" s="208"/>
      <c r="URH303" s="208"/>
      <c r="URI303" s="208"/>
      <c r="URJ303" s="208"/>
      <c r="URK303" s="208"/>
      <c r="URL303" s="208"/>
      <c r="URM303" s="208"/>
      <c r="URN303" s="208"/>
      <c r="URO303" s="208"/>
      <c r="URP303" s="208"/>
      <c r="URQ303" s="208"/>
      <c r="URR303" s="208"/>
      <c r="URS303" s="208"/>
      <c r="URT303" s="208"/>
      <c r="URU303" s="208"/>
      <c r="URV303" s="208"/>
      <c r="URW303" s="208"/>
      <c r="URX303" s="208"/>
      <c r="URY303" s="208"/>
      <c r="URZ303" s="208"/>
      <c r="USA303" s="208"/>
      <c r="USB303" s="208"/>
      <c r="USC303" s="208"/>
      <c r="USD303" s="208"/>
      <c r="USE303" s="208"/>
      <c r="USF303" s="208"/>
      <c r="USG303" s="208"/>
      <c r="USH303" s="208"/>
      <c r="USI303" s="208"/>
      <c r="USJ303" s="208"/>
      <c r="USK303" s="208"/>
      <c r="USL303" s="208"/>
      <c r="USM303" s="208"/>
      <c r="USN303" s="208"/>
      <c r="USO303" s="208"/>
      <c r="USP303" s="208"/>
      <c r="USQ303" s="208"/>
      <c r="USR303" s="208"/>
      <c r="USS303" s="208"/>
      <c r="UST303" s="208"/>
      <c r="USU303" s="208"/>
      <c r="USV303" s="208"/>
      <c r="USW303" s="208"/>
      <c r="USX303" s="208"/>
      <c r="USY303" s="208"/>
      <c r="USZ303" s="208"/>
      <c r="UTA303" s="208"/>
      <c r="UTB303" s="208"/>
      <c r="UTC303" s="208"/>
      <c r="UTD303" s="208"/>
      <c r="UTE303" s="208"/>
      <c r="UTF303" s="208"/>
      <c r="UTG303" s="208"/>
      <c r="UTH303" s="208"/>
      <c r="UTI303" s="208"/>
      <c r="UTJ303" s="208"/>
      <c r="UTK303" s="208"/>
      <c r="UTL303" s="208"/>
      <c r="UTM303" s="208"/>
      <c r="UTN303" s="208"/>
      <c r="UTO303" s="208"/>
      <c r="UTP303" s="208"/>
      <c r="UTQ303" s="208"/>
      <c r="UTR303" s="208"/>
      <c r="UTS303" s="208"/>
      <c r="UTT303" s="208"/>
      <c r="UTU303" s="208"/>
      <c r="UTV303" s="208"/>
      <c r="UTW303" s="208"/>
      <c r="UTX303" s="208"/>
      <c r="UTY303" s="208"/>
      <c r="UTZ303" s="208"/>
      <c r="UUA303" s="208"/>
      <c r="UUB303" s="208"/>
      <c r="UUC303" s="208"/>
      <c r="UUD303" s="208"/>
      <c r="UUE303" s="208"/>
      <c r="UUF303" s="208"/>
      <c r="UUG303" s="208"/>
      <c r="UUH303" s="208"/>
      <c r="UUI303" s="208"/>
      <c r="UUJ303" s="208"/>
      <c r="UUK303" s="208"/>
      <c r="UUL303" s="208"/>
      <c r="UUM303" s="208"/>
      <c r="UUN303" s="208"/>
      <c r="UUO303" s="208"/>
      <c r="UUP303" s="208"/>
      <c r="UUQ303" s="208"/>
      <c r="UUR303" s="208"/>
      <c r="UUS303" s="208"/>
      <c r="UUT303" s="208"/>
      <c r="UUU303" s="208"/>
      <c r="UUV303" s="208"/>
      <c r="UUW303" s="208"/>
      <c r="UUX303" s="208"/>
      <c r="UUY303" s="208"/>
      <c r="UUZ303" s="208"/>
      <c r="UVA303" s="208"/>
      <c r="UVB303" s="208"/>
      <c r="UVC303" s="208"/>
      <c r="UVD303" s="208"/>
      <c r="UVE303" s="208"/>
      <c r="UVF303" s="208"/>
      <c r="UVG303" s="208"/>
      <c r="UVH303" s="208"/>
      <c r="UVI303" s="208"/>
      <c r="UVJ303" s="208"/>
      <c r="UVK303" s="208"/>
      <c r="UVL303" s="208"/>
      <c r="UVM303" s="208"/>
      <c r="UVN303" s="208"/>
      <c r="UVO303" s="208"/>
      <c r="UVP303" s="208"/>
      <c r="UVQ303" s="208"/>
      <c r="UVR303" s="208"/>
      <c r="UVS303" s="208"/>
      <c r="UVT303" s="208"/>
      <c r="UVU303" s="208"/>
      <c r="UVV303" s="208"/>
      <c r="UVW303" s="208"/>
      <c r="UVX303" s="208"/>
      <c r="UVY303" s="208"/>
      <c r="UVZ303" s="208"/>
      <c r="UWA303" s="208"/>
      <c r="UWB303" s="208"/>
      <c r="UWC303" s="208"/>
      <c r="UWD303" s="208"/>
      <c r="UWE303" s="208"/>
      <c r="UWF303" s="208"/>
      <c r="UWG303" s="208"/>
      <c r="UWH303" s="208"/>
      <c r="UWI303" s="208"/>
      <c r="UWJ303" s="208"/>
      <c r="UWK303" s="208"/>
      <c r="UWL303" s="208"/>
      <c r="UWM303" s="208"/>
      <c r="UWN303" s="208"/>
      <c r="UWO303" s="208"/>
      <c r="UWP303" s="208"/>
      <c r="UWQ303" s="208"/>
      <c r="UWR303" s="208"/>
      <c r="UWS303" s="208"/>
      <c r="UWT303" s="208"/>
      <c r="UWU303" s="208"/>
      <c r="UWV303" s="208"/>
      <c r="UWW303" s="208"/>
      <c r="UWX303" s="208"/>
      <c r="UWY303" s="208"/>
      <c r="UWZ303" s="208"/>
      <c r="UXA303" s="208"/>
      <c r="UXB303" s="208"/>
      <c r="UXC303" s="208"/>
      <c r="UXD303" s="208"/>
      <c r="UXE303" s="208"/>
      <c r="UXF303" s="208"/>
      <c r="UXG303" s="208"/>
      <c r="UXH303" s="208"/>
      <c r="UXI303" s="208"/>
      <c r="UXJ303" s="208"/>
      <c r="UXK303" s="208"/>
      <c r="UXL303" s="208"/>
      <c r="UXM303" s="208"/>
      <c r="UXN303" s="208"/>
      <c r="UXO303" s="208"/>
      <c r="UXP303" s="208"/>
      <c r="UXQ303" s="208"/>
      <c r="UXR303" s="208"/>
      <c r="UXS303" s="208"/>
      <c r="UXT303" s="208"/>
      <c r="UXU303" s="208"/>
      <c r="UXV303" s="208"/>
      <c r="UXW303" s="208"/>
      <c r="UXX303" s="208"/>
      <c r="UXY303" s="208"/>
      <c r="UXZ303" s="208"/>
      <c r="UYA303" s="208"/>
      <c r="UYB303" s="208"/>
      <c r="UYC303" s="208"/>
      <c r="UYD303" s="208"/>
      <c r="UYE303" s="208"/>
      <c r="UYF303" s="208"/>
      <c r="UYG303" s="208"/>
      <c r="UYH303" s="208"/>
      <c r="UYI303" s="208"/>
      <c r="UYJ303" s="208"/>
      <c r="UYK303" s="208"/>
      <c r="UYL303" s="208"/>
      <c r="UYM303" s="208"/>
      <c r="UYN303" s="208"/>
      <c r="UYO303" s="208"/>
      <c r="UYP303" s="208"/>
      <c r="UYQ303" s="208"/>
      <c r="UYR303" s="208"/>
      <c r="UYS303" s="208"/>
      <c r="UYT303" s="208"/>
      <c r="UYU303" s="208"/>
      <c r="UYV303" s="208"/>
      <c r="UYW303" s="208"/>
      <c r="UYX303" s="208"/>
      <c r="UYY303" s="208"/>
      <c r="UYZ303" s="208"/>
      <c r="UZA303" s="208"/>
      <c r="UZB303" s="208"/>
      <c r="UZC303" s="208"/>
      <c r="UZD303" s="208"/>
      <c r="UZE303" s="208"/>
      <c r="UZF303" s="208"/>
      <c r="UZG303" s="208"/>
      <c r="UZH303" s="208"/>
      <c r="UZI303" s="208"/>
      <c r="UZJ303" s="208"/>
      <c r="UZK303" s="208"/>
      <c r="UZL303" s="208"/>
      <c r="UZM303" s="208"/>
      <c r="UZN303" s="208"/>
      <c r="UZO303" s="208"/>
      <c r="UZP303" s="208"/>
      <c r="UZQ303" s="208"/>
      <c r="UZR303" s="208"/>
      <c r="UZS303" s="208"/>
      <c r="UZT303" s="208"/>
      <c r="UZU303" s="208"/>
      <c r="UZV303" s="208"/>
      <c r="UZW303" s="208"/>
      <c r="UZX303" s="208"/>
      <c r="UZY303" s="208"/>
      <c r="UZZ303" s="208"/>
      <c r="VAA303" s="208"/>
      <c r="VAB303" s="208"/>
      <c r="VAC303" s="208"/>
      <c r="VAD303" s="208"/>
      <c r="VAE303" s="208"/>
      <c r="VAF303" s="208"/>
      <c r="VAG303" s="208"/>
      <c r="VAH303" s="208"/>
      <c r="VAI303" s="208"/>
      <c r="VAJ303" s="208"/>
      <c r="VAK303" s="208"/>
      <c r="VAL303" s="208"/>
      <c r="VAM303" s="208"/>
      <c r="VAN303" s="208"/>
      <c r="VAO303" s="208"/>
      <c r="VAP303" s="208"/>
      <c r="VAQ303" s="208"/>
      <c r="VAR303" s="208"/>
      <c r="VAS303" s="208"/>
      <c r="VAT303" s="208"/>
      <c r="VAU303" s="208"/>
      <c r="VAV303" s="208"/>
      <c r="VAW303" s="208"/>
      <c r="VAX303" s="208"/>
      <c r="VAY303" s="208"/>
      <c r="VAZ303" s="208"/>
      <c r="VBA303" s="208"/>
      <c r="VBB303" s="208"/>
      <c r="VBC303" s="208"/>
      <c r="VBD303" s="208"/>
      <c r="VBE303" s="208"/>
      <c r="VBF303" s="208"/>
      <c r="VBG303" s="208"/>
      <c r="VBH303" s="208"/>
      <c r="VBI303" s="208"/>
      <c r="VBJ303" s="208"/>
      <c r="VBK303" s="208"/>
      <c r="VBL303" s="208"/>
      <c r="VBM303" s="208"/>
      <c r="VBN303" s="208"/>
      <c r="VBO303" s="208"/>
      <c r="VBP303" s="208"/>
      <c r="VBQ303" s="208"/>
      <c r="VBR303" s="208"/>
      <c r="VBS303" s="208"/>
      <c r="VBT303" s="208"/>
      <c r="VBU303" s="208"/>
      <c r="VBV303" s="208"/>
      <c r="VBW303" s="208"/>
      <c r="VBX303" s="208"/>
      <c r="VBY303" s="208"/>
      <c r="VBZ303" s="208"/>
      <c r="VCA303" s="208"/>
      <c r="VCB303" s="208"/>
      <c r="VCC303" s="208"/>
      <c r="VCD303" s="208"/>
      <c r="VCE303" s="208"/>
      <c r="VCF303" s="208"/>
      <c r="VCG303" s="208"/>
      <c r="VCH303" s="208"/>
      <c r="VCI303" s="208"/>
      <c r="VCJ303" s="208"/>
      <c r="VCK303" s="208"/>
      <c r="VCL303" s="208"/>
      <c r="VCM303" s="208"/>
      <c r="VCN303" s="208"/>
      <c r="VCO303" s="208"/>
      <c r="VCP303" s="208"/>
      <c r="VCQ303" s="208"/>
      <c r="VCR303" s="208"/>
      <c r="VCS303" s="208"/>
      <c r="VCT303" s="208"/>
      <c r="VCU303" s="208"/>
      <c r="VCV303" s="208"/>
      <c r="VCW303" s="208"/>
      <c r="VCX303" s="208"/>
      <c r="VCY303" s="208"/>
      <c r="VCZ303" s="208"/>
      <c r="VDA303" s="208"/>
      <c r="VDB303" s="208"/>
      <c r="VDC303" s="208"/>
      <c r="VDD303" s="208"/>
      <c r="VDE303" s="208"/>
      <c r="VDF303" s="208"/>
      <c r="VDG303" s="208"/>
      <c r="VDH303" s="208"/>
      <c r="VDI303" s="208"/>
      <c r="VDJ303" s="208"/>
      <c r="VDK303" s="208"/>
      <c r="VDL303" s="208"/>
      <c r="VDM303" s="208"/>
      <c r="VDN303" s="208"/>
      <c r="VDO303" s="208"/>
      <c r="VDP303" s="208"/>
      <c r="VDQ303" s="208"/>
      <c r="VDR303" s="208"/>
      <c r="VDS303" s="208"/>
      <c r="VDT303" s="208"/>
      <c r="VDU303" s="208"/>
      <c r="VDV303" s="208"/>
      <c r="VDW303" s="208"/>
      <c r="VDX303" s="208"/>
      <c r="VDY303" s="208"/>
      <c r="VDZ303" s="208"/>
      <c r="VEA303" s="208"/>
      <c r="VEB303" s="208"/>
      <c r="VEC303" s="208"/>
      <c r="VED303" s="208"/>
      <c r="VEE303" s="208"/>
      <c r="VEF303" s="208"/>
      <c r="VEG303" s="208"/>
      <c r="VEH303" s="208"/>
      <c r="VEI303" s="208"/>
      <c r="VEJ303" s="208"/>
      <c r="VEK303" s="208"/>
      <c r="VEL303" s="208"/>
      <c r="VEM303" s="208"/>
      <c r="VEN303" s="208"/>
      <c r="VEO303" s="208"/>
      <c r="VEP303" s="208"/>
      <c r="VEQ303" s="208"/>
      <c r="VER303" s="208"/>
      <c r="VES303" s="208"/>
      <c r="VET303" s="208"/>
      <c r="VEU303" s="208"/>
      <c r="VEV303" s="208"/>
      <c r="VEW303" s="208"/>
      <c r="VEX303" s="208"/>
      <c r="VEY303" s="208"/>
      <c r="VEZ303" s="208"/>
      <c r="VFA303" s="208"/>
      <c r="VFB303" s="208"/>
      <c r="VFC303" s="208"/>
      <c r="VFD303" s="208"/>
      <c r="VFE303" s="208"/>
      <c r="VFF303" s="208"/>
      <c r="VFG303" s="208"/>
      <c r="VFH303" s="208"/>
      <c r="VFI303" s="208"/>
      <c r="VFJ303" s="208"/>
      <c r="VFK303" s="208"/>
      <c r="VFL303" s="208"/>
      <c r="VFM303" s="208"/>
      <c r="VFN303" s="208"/>
      <c r="VFO303" s="208"/>
      <c r="VFP303" s="208"/>
      <c r="VFQ303" s="208"/>
      <c r="VFR303" s="208"/>
      <c r="VFS303" s="208"/>
      <c r="VFT303" s="208"/>
      <c r="VFU303" s="208"/>
      <c r="VFV303" s="208"/>
      <c r="VFW303" s="208"/>
      <c r="VFX303" s="208"/>
      <c r="VFY303" s="208"/>
      <c r="VFZ303" s="208"/>
      <c r="VGA303" s="208"/>
      <c r="VGB303" s="208"/>
      <c r="VGC303" s="208"/>
      <c r="VGD303" s="208"/>
      <c r="VGE303" s="208"/>
      <c r="VGF303" s="208"/>
      <c r="VGG303" s="208"/>
      <c r="VGH303" s="208"/>
      <c r="VGI303" s="208"/>
      <c r="VGJ303" s="208"/>
      <c r="VGK303" s="208"/>
      <c r="VGL303" s="208"/>
      <c r="VGM303" s="208"/>
      <c r="VGN303" s="208"/>
      <c r="VGO303" s="208"/>
      <c r="VGP303" s="208"/>
      <c r="VGQ303" s="208"/>
      <c r="VGR303" s="208"/>
      <c r="VGS303" s="208"/>
      <c r="VGT303" s="208"/>
      <c r="VGU303" s="208"/>
      <c r="VGV303" s="208"/>
      <c r="VGW303" s="208"/>
      <c r="VGX303" s="208"/>
      <c r="VGY303" s="208"/>
      <c r="VGZ303" s="208"/>
      <c r="VHA303" s="208"/>
      <c r="VHB303" s="208"/>
      <c r="VHC303" s="208"/>
      <c r="VHD303" s="208"/>
      <c r="VHE303" s="208"/>
      <c r="VHF303" s="208"/>
      <c r="VHG303" s="208"/>
      <c r="VHH303" s="208"/>
      <c r="VHI303" s="208"/>
      <c r="VHJ303" s="208"/>
      <c r="VHK303" s="208"/>
      <c r="VHL303" s="208"/>
      <c r="VHM303" s="208"/>
      <c r="VHN303" s="208"/>
      <c r="VHO303" s="208"/>
      <c r="VHP303" s="208"/>
      <c r="VHQ303" s="208"/>
      <c r="VHR303" s="208"/>
      <c r="VHS303" s="208"/>
      <c r="VHT303" s="208"/>
      <c r="VHU303" s="208"/>
      <c r="VHV303" s="208"/>
      <c r="VHW303" s="208"/>
      <c r="VHX303" s="208"/>
      <c r="VHY303" s="208"/>
      <c r="VHZ303" s="208"/>
      <c r="VIA303" s="208"/>
      <c r="VIB303" s="208"/>
      <c r="VIC303" s="208"/>
      <c r="VID303" s="208"/>
      <c r="VIE303" s="208"/>
      <c r="VIF303" s="208"/>
      <c r="VIG303" s="208"/>
      <c r="VIH303" s="208"/>
      <c r="VII303" s="208"/>
      <c r="VIJ303" s="208"/>
      <c r="VIK303" s="208"/>
      <c r="VIL303" s="208"/>
      <c r="VIM303" s="208"/>
      <c r="VIN303" s="208"/>
      <c r="VIO303" s="208"/>
      <c r="VIP303" s="208"/>
      <c r="VIQ303" s="208"/>
      <c r="VIR303" s="208"/>
      <c r="VIS303" s="208"/>
      <c r="VIT303" s="208"/>
      <c r="VIU303" s="208"/>
      <c r="VIV303" s="208"/>
      <c r="VIW303" s="208"/>
      <c r="VIX303" s="208"/>
      <c r="VIY303" s="208"/>
      <c r="VIZ303" s="208"/>
      <c r="VJA303" s="208"/>
      <c r="VJB303" s="208"/>
      <c r="VJC303" s="208"/>
      <c r="VJD303" s="208"/>
      <c r="VJE303" s="208"/>
      <c r="VJF303" s="208"/>
      <c r="VJG303" s="208"/>
      <c r="VJH303" s="208"/>
      <c r="VJI303" s="208"/>
      <c r="VJJ303" s="208"/>
      <c r="VJK303" s="208"/>
      <c r="VJL303" s="208"/>
      <c r="VJM303" s="208"/>
      <c r="VJN303" s="208"/>
      <c r="VJO303" s="208"/>
      <c r="VJP303" s="208"/>
      <c r="VJQ303" s="208"/>
      <c r="VJR303" s="208"/>
      <c r="VJS303" s="208"/>
      <c r="VJT303" s="208"/>
      <c r="VJU303" s="208"/>
      <c r="VJV303" s="208"/>
      <c r="VJW303" s="208"/>
      <c r="VJX303" s="208"/>
      <c r="VJY303" s="208"/>
      <c r="VJZ303" s="208"/>
      <c r="VKA303" s="208"/>
      <c r="VKB303" s="208"/>
      <c r="VKC303" s="208"/>
      <c r="VKD303" s="208"/>
      <c r="VKE303" s="208"/>
      <c r="VKF303" s="208"/>
      <c r="VKG303" s="208"/>
      <c r="VKH303" s="208"/>
      <c r="VKI303" s="208"/>
      <c r="VKJ303" s="208"/>
      <c r="VKK303" s="208"/>
      <c r="VKL303" s="208"/>
      <c r="VKM303" s="208"/>
      <c r="VKN303" s="208"/>
      <c r="VKO303" s="208"/>
      <c r="VKP303" s="208"/>
      <c r="VKQ303" s="208"/>
      <c r="VKR303" s="208"/>
      <c r="VKS303" s="208"/>
      <c r="VKT303" s="208"/>
      <c r="VKU303" s="208"/>
      <c r="VKV303" s="208"/>
      <c r="VKW303" s="208"/>
      <c r="VKX303" s="208"/>
      <c r="VKY303" s="208"/>
      <c r="VKZ303" s="208"/>
      <c r="VLA303" s="208"/>
      <c r="VLB303" s="208"/>
      <c r="VLC303" s="208"/>
      <c r="VLD303" s="208"/>
      <c r="VLE303" s="208"/>
      <c r="VLF303" s="208"/>
      <c r="VLG303" s="208"/>
      <c r="VLH303" s="208"/>
      <c r="VLI303" s="208"/>
      <c r="VLJ303" s="208"/>
      <c r="VLK303" s="208"/>
      <c r="VLL303" s="208"/>
      <c r="VLM303" s="208"/>
      <c r="VLN303" s="208"/>
      <c r="VLO303" s="208"/>
      <c r="VLP303" s="208"/>
      <c r="VLQ303" s="208"/>
      <c r="VLR303" s="208"/>
      <c r="VLS303" s="208"/>
      <c r="VLT303" s="208"/>
      <c r="VLU303" s="208"/>
      <c r="VLV303" s="208"/>
      <c r="VLW303" s="208"/>
      <c r="VLX303" s="208"/>
      <c r="VLY303" s="208"/>
      <c r="VLZ303" s="208"/>
      <c r="VMA303" s="208"/>
      <c r="VMB303" s="208"/>
      <c r="VMC303" s="208"/>
      <c r="VMD303" s="208"/>
      <c r="VME303" s="208"/>
      <c r="VMF303" s="208"/>
      <c r="VMG303" s="208"/>
      <c r="VMH303" s="208"/>
      <c r="VMI303" s="208"/>
      <c r="VMJ303" s="208"/>
      <c r="VMK303" s="208"/>
      <c r="VML303" s="208"/>
      <c r="VMM303" s="208"/>
      <c r="VMN303" s="208"/>
      <c r="VMO303" s="208"/>
      <c r="VMP303" s="208"/>
      <c r="VMQ303" s="208"/>
      <c r="VMR303" s="208"/>
      <c r="VMS303" s="208"/>
      <c r="VMT303" s="208"/>
      <c r="VMU303" s="208"/>
      <c r="VMV303" s="208"/>
      <c r="VMW303" s="208"/>
      <c r="VMX303" s="208"/>
      <c r="VMY303" s="208"/>
      <c r="VMZ303" s="208"/>
      <c r="VNA303" s="208"/>
      <c r="VNB303" s="208"/>
      <c r="VNC303" s="208"/>
      <c r="VND303" s="208"/>
      <c r="VNE303" s="208"/>
      <c r="VNF303" s="208"/>
      <c r="VNG303" s="208"/>
      <c r="VNH303" s="208"/>
      <c r="VNI303" s="208"/>
      <c r="VNJ303" s="208"/>
      <c r="VNK303" s="208"/>
      <c r="VNL303" s="208"/>
      <c r="VNM303" s="208"/>
      <c r="VNN303" s="208"/>
      <c r="VNO303" s="208"/>
      <c r="VNP303" s="208"/>
      <c r="VNQ303" s="208"/>
      <c r="VNR303" s="208"/>
      <c r="VNS303" s="208"/>
      <c r="VNT303" s="208"/>
      <c r="VNU303" s="208"/>
      <c r="VNV303" s="208"/>
      <c r="VNW303" s="208"/>
      <c r="VNX303" s="208"/>
      <c r="VNY303" s="208"/>
      <c r="VNZ303" s="208"/>
      <c r="VOA303" s="208"/>
      <c r="VOB303" s="208"/>
      <c r="VOC303" s="208"/>
      <c r="VOD303" s="208"/>
      <c r="VOE303" s="208"/>
      <c r="VOF303" s="208"/>
      <c r="VOG303" s="208"/>
      <c r="VOH303" s="208"/>
      <c r="VOI303" s="208"/>
      <c r="VOJ303" s="208"/>
      <c r="VOK303" s="208"/>
      <c r="VOL303" s="208"/>
      <c r="VOM303" s="208"/>
      <c r="VON303" s="208"/>
      <c r="VOO303" s="208"/>
      <c r="VOP303" s="208"/>
      <c r="VOQ303" s="208"/>
      <c r="VOR303" s="208"/>
      <c r="VOS303" s="208"/>
      <c r="VOT303" s="208"/>
      <c r="VOU303" s="208"/>
      <c r="VOV303" s="208"/>
      <c r="VOW303" s="208"/>
      <c r="VOX303" s="208"/>
      <c r="VOY303" s="208"/>
      <c r="VOZ303" s="208"/>
      <c r="VPA303" s="208"/>
      <c r="VPB303" s="208"/>
      <c r="VPC303" s="208"/>
      <c r="VPD303" s="208"/>
      <c r="VPE303" s="208"/>
      <c r="VPF303" s="208"/>
      <c r="VPG303" s="208"/>
      <c r="VPH303" s="208"/>
      <c r="VPI303" s="208"/>
      <c r="VPJ303" s="208"/>
      <c r="VPK303" s="208"/>
      <c r="VPL303" s="208"/>
      <c r="VPM303" s="208"/>
      <c r="VPN303" s="208"/>
      <c r="VPO303" s="208"/>
      <c r="VPP303" s="208"/>
      <c r="VPQ303" s="208"/>
      <c r="VPR303" s="208"/>
      <c r="VPS303" s="208"/>
      <c r="VPT303" s="208"/>
      <c r="VPU303" s="208"/>
      <c r="VPV303" s="208"/>
      <c r="VPW303" s="208"/>
      <c r="VPX303" s="208"/>
      <c r="VPY303" s="208"/>
      <c r="VPZ303" s="208"/>
      <c r="VQA303" s="208"/>
      <c r="VQB303" s="208"/>
      <c r="VQC303" s="208"/>
      <c r="VQD303" s="208"/>
      <c r="VQE303" s="208"/>
      <c r="VQF303" s="208"/>
      <c r="VQG303" s="208"/>
      <c r="VQH303" s="208"/>
      <c r="VQI303" s="208"/>
      <c r="VQJ303" s="208"/>
      <c r="VQK303" s="208"/>
      <c r="VQL303" s="208"/>
      <c r="VQM303" s="208"/>
      <c r="VQN303" s="208"/>
      <c r="VQO303" s="208"/>
      <c r="VQP303" s="208"/>
      <c r="VQQ303" s="208"/>
      <c r="VQR303" s="208"/>
      <c r="VQS303" s="208"/>
      <c r="VQT303" s="208"/>
      <c r="VQU303" s="208"/>
      <c r="VQV303" s="208"/>
      <c r="VQW303" s="208"/>
      <c r="VQX303" s="208"/>
      <c r="VQY303" s="208"/>
      <c r="VQZ303" s="208"/>
      <c r="VRA303" s="208"/>
      <c r="VRB303" s="208"/>
      <c r="VRC303" s="208"/>
      <c r="VRD303" s="208"/>
      <c r="VRE303" s="208"/>
      <c r="VRF303" s="208"/>
      <c r="VRG303" s="208"/>
      <c r="VRH303" s="208"/>
      <c r="VRI303" s="208"/>
      <c r="VRJ303" s="208"/>
      <c r="VRK303" s="208"/>
      <c r="VRL303" s="208"/>
      <c r="VRM303" s="208"/>
      <c r="VRN303" s="208"/>
      <c r="VRO303" s="208"/>
      <c r="VRP303" s="208"/>
      <c r="VRQ303" s="208"/>
      <c r="VRR303" s="208"/>
      <c r="VRS303" s="208"/>
      <c r="VRT303" s="208"/>
      <c r="VRU303" s="208"/>
      <c r="VRV303" s="208"/>
      <c r="VRW303" s="208"/>
      <c r="VRX303" s="208"/>
      <c r="VRY303" s="208"/>
      <c r="VRZ303" s="208"/>
      <c r="VSA303" s="208"/>
      <c r="VSB303" s="208"/>
      <c r="VSC303" s="208"/>
      <c r="VSD303" s="208"/>
      <c r="VSE303" s="208"/>
      <c r="VSF303" s="208"/>
      <c r="VSG303" s="208"/>
      <c r="VSH303" s="208"/>
      <c r="VSI303" s="208"/>
      <c r="VSJ303" s="208"/>
      <c r="VSK303" s="208"/>
      <c r="VSL303" s="208"/>
      <c r="VSM303" s="208"/>
      <c r="VSN303" s="208"/>
      <c r="VSO303" s="208"/>
      <c r="VSP303" s="208"/>
      <c r="VSQ303" s="208"/>
      <c r="VSR303" s="208"/>
      <c r="VSS303" s="208"/>
      <c r="VST303" s="208"/>
      <c r="VSU303" s="208"/>
      <c r="VSV303" s="208"/>
      <c r="VSW303" s="208"/>
      <c r="VSX303" s="208"/>
      <c r="VSY303" s="208"/>
      <c r="VSZ303" s="208"/>
      <c r="VTA303" s="208"/>
      <c r="VTB303" s="208"/>
      <c r="VTC303" s="208"/>
      <c r="VTD303" s="208"/>
      <c r="VTE303" s="208"/>
      <c r="VTF303" s="208"/>
      <c r="VTG303" s="208"/>
      <c r="VTH303" s="208"/>
      <c r="VTI303" s="208"/>
      <c r="VTJ303" s="208"/>
      <c r="VTK303" s="208"/>
      <c r="VTL303" s="208"/>
      <c r="VTM303" s="208"/>
      <c r="VTN303" s="208"/>
      <c r="VTO303" s="208"/>
      <c r="VTP303" s="208"/>
      <c r="VTQ303" s="208"/>
      <c r="VTR303" s="208"/>
      <c r="VTS303" s="208"/>
      <c r="VTT303" s="208"/>
      <c r="VTU303" s="208"/>
      <c r="VTV303" s="208"/>
      <c r="VTW303" s="208"/>
      <c r="VTX303" s="208"/>
      <c r="VTY303" s="208"/>
      <c r="VTZ303" s="208"/>
      <c r="VUA303" s="208"/>
      <c r="VUB303" s="208"/>
      <c r="VUC303" s="208"/>
      <c r="VUD303" s="208"/>
      <c r="VUE303" s="208"/>
      <c r="VUF303" s="208"/>
      <c r="VUG303" s="208"/>
      <c r="VUH303" s="208"/>
      <c r="VUI303" s="208"/>
      <c r="VUJ303" s="208"/>
      <c r="VUK303" s="208"/>
      <c r="VUL303" s="208"/>
      <c r="VUM303" s="208"/>
      <c r="VUN303" s="208"/>
      <c r="VUO303" s="208"/>
      <c r="VUP303" s="208"/>
      <c r="VUQ303" s="208"/>
      <c r="VUR303" s="208"/>
      <c r="VUS303" s="208"/>
      <c r="VUT303" s="208"/>
      <c r="VUU303" s="208"/>
      <c r="VUV303" s="208"/>
      <c r="VUW303" s="208"/>
      <c r="VUX303" s="208"/>
      <c r="VUY303" s="208"/>
      <c r="VUZ303" s="208"/>
      <c r="VVA303" s="208"/>
      <c r="VVB303" s="208"/>
      <c r="VVC303" s="208"/>
      <c r="VVD303" s="208"/>
      <c r="VVE303" s="208"/>
      <c r="VVF303" s="208"/>
      <c r="VVG303" s="208"/>
      <c r="VVH303" s="208"/>
      <c r="VVI303" s="208"/>
      <c r="VVJ303" s="208"/>
      <c r="VVK303" s="208"/>
      <c r="VVL303" s="208"/>
      <c r="VVM303" s="208"/>
      <c r="VVN303" s="208"/>
      <c r="VVO303" s="208"/>
      <c r="VVP303" s="208"/>
      <c r="VVQ303" s="208"/>
      <c r="VVR303" s="208"/>
      <c r="VVS303" s="208"/>
      <c r="VVT303" s="208"/>
      <c r="VVU303" s="208"/>
      <c r="VVV303" s="208"/>
      <c r="VVW303" s="208"/>
      <c r="VVX303" s="208"/>
      <c r="VVY303" s="208"/>
      <c r="VVZ303" s="208"/>
      <c r="VWA303" s="208"/>
      <c r="VWB303" s="208"/>
      <c r="VWC303" s="208"/>
      <c r="VWD303" s="208"/>
      <c r="VWE303" s="208"/>
      <c r="VWF303" s="208"/>
      <c r="VWG303" s="208"/>
      <c r="VWH303" s="208"/>
      <c r="VWI303" s="208"/>
      <c r="VWJ303" s="208"/>
      <c r="VWK303" s="208"/>
      <c r="VWL303" s="208"/>
      <c r="VWM303" s="208"/>
      <c r="VWN303" s="208"/>
      <c r="VWO303" s="208"/>
      <c r="VWP303" s="208"/>
      <c r="VWQ303" s="208"/>
      <c r="VWR303" s="208"/>
      <c r="VWS303" s="208"/>
      <c r="VWT303" s="208"/>
      <c r="VWU303" s="208"/>
      <c r="VWV303" s="208"/>
      <c r="VWW303" s="208"/>
      <c r="VWX303" s="208"/>
      <c r="VWY303" s="208"/>
      <c r="VWZ303" s="208"/>
      <c r="VXA303" s="208"/>
      <c r="VXB303" s="208"/>
      <c r="VXC303" s="208"/>
      <c r="VXD303" s="208"/>
      <c r="VXE303" s="208"/>
      <c r="VXF303" s="208"/>
      <c r="VXG303" s="208"/>
      <c r="VXH303" s="208"/>
      <c r="VXI303" s="208"/>
      <c r="VXJ303" s="208"/>
      <c r="VXK303" s="208"/>
      <c r="VXL303" s="208"/>
      <c r="VXM303" s="208"/>
      <c r="VXN303" s="208"/>
      <c r="VXO303" s="208"/>
      <c r="VXP303" s="208"/>
      <c r="VXQ303" s="208"/>
      <c r="VXR303" s="208"/>
      <c r="VXS303" s="208"/>
      <c r="VXT303" s="208"/>
      <c r="VXU303" s="208"/>
      <c r="VXV303" s="208"/>
      <c r="VXW303" s="208"/>
      <c r="VXX303" s="208"/>
      <c r="VXY303" s="208"/>
      <c r="VXZ303" s="208"/>
      <c r="VYA303" s="208"/>
      <c r="VYB303" s="208"/>
      <c r="VYC303" s="208"/>
      <c r="VYD303" s="208"/>
      <c r="VYE303" s="208"/>
      <c r="VYF303" s="208"/>
      <c r="VYG303" s="208"/>
      <c r="VYH303" s="208"/>
      <c r="VYI303" s="208"/>
      <c r="VYJ303" s="208"/>
      <c r="VYK303" s="208"/>
      <c r="VYL303" s="208"/>
      <c r="VYM303" s="208"/>
      <c r="VYN303" s="208"/>
      <c r="VYO303" s="208"/>
      <c r="VYP303" s="208"/>
      <c r="VYQ303" s="208"/>
      <c r="VYR303" s="208"/>
      <c r="VYS303" s="208"/>
      <c r="VYT303" s="208"/>
      <c r="VYU303" s="208"/>
      <c r="VYV303" s="208"/>
      <c r="VYW303" s="208"/>
      <c r="VYX303" s="208"/>
      <c r="VYY303" s="208"/>
      <c r="VYZ303" s="208"/>
      <c r="VZA303" s="208"/>
      <c r="VZB303" s="208"/>
      <c r="VZC303" s="208"/>
      <c r="VZD303" s="208"/>
      <c r="VZE303" s="208"/>
      <c r="VZF303" s="208"/>
      <c r="VZG303" s="208"/>
      <c r="VZH303" s="208"/>
      <c r="VZI303" s="208"/>
      <c r="VZJ303" s="208"/>
      <c r="VZK303" s="208"/>
      <c r="VZL303" s="208"/>
      <c r="VZM303" s="208"/>
      <c r="VZN303" s="208"/>
      <c r="VZO303" s="208"/>
      <c r="VZP303" s="208"/>
      <c r="VZQ303" s="208"/>
      <c r="VZR303" s="208"/>
      <c r="VZS303" s="208"/>
      <c r="VZT303" s="208"/>
      <c r="VZU303" s="208"/>
      <c r="VZV303" s="208"/>
      <c r="VZW303" s="208"/>
      <c r="VZX303" s="208"/>
      <c r="VZY303" s="208"/>
      <c r="VZZ303" s="208"/>
      <c r="WAA303" s="208"/>
      <c r="WAB303" s="208"/>
      <c r="WAC303" s="208"/>
      <c r="WAD303" s="208"/>
      <c r="WAE303" s="208"/>
      <c r="WAF303" s="208"/>
      <c r="WAG303" s="208"/>
      <c r="WAH303" s="208"/>
      <c r="WAI303" s="208"/>
      <c r="WAJ303" s="208"/>
      <c r="WAK303" s="208"/>
      <c r="WAL303" s="208"/>
      <c r="WAM303" s="208"/>
      <c r="WAN303" s="208"/>
      <c r="WAO303" s="208"/>
      <c r="WAP303" s="208"/>
      <c r="WAQ303" s="208"/>
      <c r="WAR303" s="208"/>
      <c r="WAS303" s="208"/>
      <c r="WAT303" s="208"/>
      <c r="WAU303" s="208"/>
      <c r="WAV303" s="208"/>
      <c r="WAW303" s="208"/>
      <c r="WAX303" s="208"/>
      <c r="WAY303" s="208"/>
      <c r="WAZ303" s="208"/>
      <c r="WBA303" s="208"/>
      <c r="WBB303" s="208"/>
      <c r="WBC303" s="208"/>
      <c r="WBD303" s="208"/>
      <c r="WBE303" s="208"/>
      <c r="WBF303" s="208"/>
      <c r="WBG303" s="208"/>
      <c r="WBH303" s="208"/>
      <c r="WBI303" s="208"/>
      <c r="WBJ303" s="208"/>
      <c r="WBK303" s="208"/>
      <c r="WBL303" s="208"/>
      <c r="WBM303" s="208"/>
      <c r="WBN303" s="208"/>
      <c r="WBO303" s="208"/>
      <c r="WBP303" s="208"/>
      <c r="WBQ303" s="208"/>
      <c r="WBR303" s="208"/>
      <c r="WBS303" s="208"/>
      <c r="WBT303" s="208"/>
      <c r="WBU303" s="208"/>
      <c r="WBV303" s="208"/>
      <c r="WBW303" s="208"/>
      <c r="WBX303" s="208"/>
      <c r="WBY303" s="208"/>
      <c r="WBZ303" s="208"/>
      <c r="WCA303" s="208"/>
      <c r="WCB303" s="208"/>
      <c r="WCC303" s="208"/>
      <c r="WCD303" s="208"/>
      <c r="WCE303" s="208"/>
      <c r="WCF303" s="208"/>
      <c r="WCG303" s="208"/>
      <c r="WCH303" s="208"/>
      <c r="WCI303" s="208"/>
      <c r="WCJ303" s="208"/>
      <c r="WCK303" s="208"/>
      <c r="WCL303" s="208"/>
      <c r="WCM303" s="208"/>
      <c r="WCN303" s="208"/>
      <c r="WCO303" s="208"/>
      <c r="WCP303" s="208"/>
      <c r="WCQ303" s="208"/>
      <c r="WCR303" s="208"/>
      <c r="WCS303" s="208"/>
      <c r="WCT303" s="208"/>
      <c r="WCU303" s="208"/>
      <c r="WCV303" s="208"/>
      <c r="WCW303" s="208"/>
      <c r="WCX303" s="208"/>
      <c r="WCY303" s="208"/>
      <c r="WCZ303" s="208"/>
      <c r="WDA303" s="208"/>
      <c r="WDB303" s="208"/>
      <c r="WDC303" s="208"/>
      <c r="WDD303" s="208"/>
      <c r="WDE303" s="208"/>
      <c r="WDF303" s="208"/>
      <c r="WDG303" s="208"/>
      <c r="WDH303" s="208"/>
      <c r="WDI303" s="208"/>
      <c r="WDJ303" s="208"/>
      <c r="WDK303" s="208"/>
      <c r="WDL303" s="208"/>
      <c r="WDM303" s="208"/>
      <c r="WDN303" s="208"/>
      <c r="WDO303" s="208"/>
      <c r="WDP303" s="208"/>
      <c r="WDQ303" s="208"/>
      <c r="WDR303" s="208"/>
      <c r="WDS303" s="208"/>
      <c r="WDT303" s="208"/>
      <c r="WDU303" s="208"/>
      <c r="WDV303" s="208"/>
      <c r="WDW303" s="208"/>
      <c r="WDX303" s="208"/>
      <c r="WDY303" s="208"/>
      <c r="WDZ303" s="208"/>
      <c r="WEA303" s="208"/>
      <c r="WEB303" s="208"/>
      <c r="WEC303" s="208"/>
      <c r="WED303" s="208"/>
      <c r="WEE303" s="208"/>
      <c r="WEF303" s="208"/>
      <c r="WEG303" s="208"/>
      <c r="WEH303" s="208"/>
      <c r="WEI303" s="208"/>
      <c r="WEJ303" s="208"/>
      <c r="WEK303" s="208"/>
      <c r="WEL303" s="208"/>
      <c r="WEM303" s="208"/>
      <c r="WEN303" s="208"/>
      <c r="WEO303" s="208"/>
      <c r="WEP303" s="208"/>
      <c r="WEQ303" s="208"/>
      <c r="WER303" s="208"/>
      <c r="WES303" s="208"/>
      <c r="WET303" s="208"/>
      <c r="WEU303" s="208"/>
      <c r="WEV303" s="208"/>
      <c r="WEW303" s="208"/>
      <c r="WEX303" s="208"/>
      <c r="WEY303" s="208"/>
      <c r="WEZ303" s="208"/>
      <c r="WFA303" s="208"/>
      <c r="WFB303" s="208"/>
      <c r="WFC303" s="208"/>
      <c r="WFD303" s="208"/>
      <c r="WFE303" s="208"/>
      <c r="WFF303" s="208"/>
      <c r="WFG303" s="208"/>
      <c r="WFH303" s="208"/>
      <c r="WFI303" s="208"/>
      <c r="WFJ303" s="208"/>
      <c r="WFK303" s="208"/>
      <c r="WFL303" s="208"/>
      <c r="WFM303" s="208"/>
      <c r="WFN303" s="208"/>
      <c r="WFO303" s="208"/>
      <c r="WFP303" s="208"/>
      <c r="WFQ303" s="208"/>
      <c r="WFR303" s="208"/>
      <c r="WFS303" s="208"/>
      <c r="WFT303" s="208"/>
      <c r="WFU303" s="208"/>
      <c r="WFV303" s="208"/>
      <c r="WFW303" s="208"/>
      <c r="WFX303" s="208"/>
      <c r="WFY303" s="208"/>
      <c r="WFZ303" s="208"/>
      <c r="WGA303" s="208"/>
      <c r="WGB303" s="208"/>
      <c r="WGC303" s="208"/>
      <c r="WGD303" s="208"/>
      <c r="WGE303" s="208"/>
      <c r="WGF303" s="208"/>
      <c r="WGG303" s="208"/>
      <c r="WGH303" s="208"/>
      <c r="WGI303" s="208"/>
      <c r="WGJ303" s="208"/>
      <c r="WGK303" s="208"/>
      <c r="WGL303" s="208"/>
      <c r="WGM303" s="208"/>
      <c r="WGN303" s="208"/>
      <c r="WGO303" s="208"/>
      <c r="WGP303" s="208"/>
      <c r="WGQ303" s="208"/>
      <c r="WGR303" s="208"/>
      <c r="WGS303" s="208"/>
      <c r="WGT303" s="208"/>
      <c r="WGU303" s="208"/>
      <c r="WGV303" s="208"/>
      <c r="WGW303" s="208"/>
      <c r="WGX303" s="208"/>
      <c r="WGY303" s="208"/>
      <c r="WGZ303" s="208"/>
      <c r="WHA303" s="208"/>
      <c r="WHB303" s="208"/>
      <c r="WHC303" s="208"/>
      <c r="WHD303" s="208"/>
      <c r="WHE303" s="208"/>
      <c r="WHF303" s="208"/>
      <c r="WHG303" s="208"/>
      <c r="WHH303" s="208"/>
      <c r="WHI303" s="208"/>
      <c r="WHJ303" s="208"/>
      <c r="WHK303" s="208"/>
      <c r="WHL303" s="208"/>
      <c r="WHM303" s="208"/>
      <c r="WHN303" s="208"/>
      <c r="WHO303" s="208"/>
      <c r="WHP303" s="208"/>
      <c r="WHQ303" s="208"/>
      <c r="WHR303" s="208"/>
      <c r="WHS303" s="208"/>
      <c r="WHT303" s="208"/>
      <c r="WHU303" s="208"/>
      <c r="WHV303" s="208"/>
      <c r="WHW303" s="208"/>
      <c r="WHX303" s="208"/>
      <c r="WHY303" s="208"/>
      <c r="WHZ303" s="208"/>
      <c r="WIA303" s="208"/>
      <c r="WIB303" s="208"/>
      <c r="WIC303" s="208"/>
      <c r="WID303" s="208"/>
      <c r="WIE303" s="208"/>
      <c r="WIF303" s="208"/>
      <c r="WIG303" s="208"/>
      <c r="WIH303" s="208"/>
      <c r="WII303" s="208"/>
      <c r="WIJ303" s="208"/>
      <c r="WIK303" s="208"/>
      <c r="WIL303" s="208"/>
      <c r="WIM303" s="208"/>
      <c r="WIN303" s="208"/>
      <c r="WIO303" s="208"/>
      <c r="WIP303" s="208"/>
      <c r="WIQ303" s="208"/>
      <c r="WIR303" s="208"/>
      <c r="WIS303" s="208"/>
      <c r="WIT303" s="208"/>
      <c r="WIU303" s="208"/>
      <c r="WIV303" s="208"/>
      <c r="WIW303" s="208"/>
      <c r="WIX303" s="208"/>
      <c r="WIY303" s="208"/>
      <c r="WIZ303" s="208"/>
      <c r="WJA303" s="208"/>
      <c r="WJB303" s="208"/>
      <c r="WJC303" s="208"/>
      <c r="WJD303" s="208"/>
      <c r="WJE303" s="208"/>
      <c r="WJF303" s="208"/>
      <c r="WJG303" s="208"/>
      <c r="WJH303" s="208"/>
      <c r="WJI303" s="208"/>
      <c r="WJJ303" s="208"/>
      <c r="WJK303" s="208"/>
      <c r="WJL303" s="208"/>
      <c r="WJM303" s="208"/>
      <c r="WJN303" s="208"/>
      <c r="WJO303" s="208"/>
      <c r="WJP303" s="208"/>
      <c r="WJQ303" s="208"/>
      <c r="WJR303" s="208"/>
      <c r="WJS303" s="208"/>
      <c r="WJT303" s="208"/>
      <c r="WJU303" s="208"/>
      <c r="WJV303" s="208"/>
      <c r="WJW303" s="208"/>
      <c r="WJX303" s="208"/>
      <c r="WJY303" s="208"/>
      <c r="WJZ303" s="208"/>
      <c r="WKA303" s="208"/>
      <c r="WKB303" s="208"/>
      <c r="WKC303" s="208"/>
      <c r="WKD303" s="208"/>
      <c r="WKE303" s="208"/>
      <c r="WKF303" s="208"/>
      <c r="WKG303" s="208"/>
      <c r="WKH303" s="208"/>
      <c r="WKI303" s="208"/>
      <c r="WKJ303" s="208"/>
      <c r="WKK303" s="208"/>
      <c r="WKL303" s="208"/>
      <c r="WKM303" s="208"/>
      <c r="WKN303" s="208"/>
      <c r="WKO303" s="208"/>
      <c r="WKP303" s="208"/>
      <c r="WKQ303" s="208"/>
      <c r="WKR303" s="208"/>
      <c r="WKS303" s="208"/>
      <c r="WKT303" s="208"/>
      <c r="WKU303" s="208"/>
      <c r="WKV303" s="208"/>
      <c r="WKW303" s="208"/>
      <c r="WKX303" s="208"/>
      <c r="WKY303" s="208"/>
      <c r="WKZ303" s="208"/>
      <c r="WLA303" s="208"/>
      <c r="WLB303" s="208"/>
      <c r="WLC303" s="208"/>
      <c r="WLD303" s="208"/>
      <c r="WLE303" s="208"/>
      <c r="WLF303" s="208"/>
      <c r="WLG303" s="208"/>
      <c r="WLH303" s="208"/>
      <c r="WLI303" s="208"/>
      <c r="WLJ303" s="208"/>
      <c r="WLK303" s="208"/>
      <c r="WLL303" s="208"/>
      <c r="WLM303" s="208"/>
      <c r="WLN303" s="208"/>
      <c r="WLO303" s="208"/>
      <c r="WLP303" s="208"/>
      <c r="WLQ303" s="208"/>
      <c r="WLR303" s="208"/>
      <c r="WLS303" s="208"/>
      <c r="WLT303" s="208"/>
      <c r="WLU303" s="208"/>
      <c r="WLV303" s="208"/>
      <c r="WLW303" s="208"/>
      <c r="WLX303" s="208"/>
      <c r="WLY303" s="208"/>
      <c r="WLZ303" s="208"/>
      <c r="WMA303" s="208"/>
      <c r="WMB303" s="208"/>
      <c r="WMC303" s="208"/>
      <c r="WMD303" s="208"/>
      <c r="WME303" s="208"/>
      <c r="WMF303" s="208"/>
      <c r="WMG303" s="208"/>
      <c r="WMH303" s="208"/>
      <c r="WMI303" s="208"/>
      <c r="WMJ303" s="208"/>
      <c r="WMK303" s="208"/>
      <c r="WML303" s="208"/>
      <c r="WMM303" s="208"/>
      <c r="WMN303" s="208"/>
      <c r="WMO303" s="208"/>
      <c r="WMP303" s="208"/>
      <c r="WMQ303" s="208"/>
      <c r="WMR303" s="208"/>
      <c r="WMS303" s="208"/>
      <c r="WMT303" s="208"/>
      <c r="WMU303" s="208"/>
      <c r="WMV303" s="208"/>
      <c r="WMW303" s="208"/>
      <c r="WMX303" s="208"/>
      <c r="WMY303" s="208"/>
      <c r="WMZ303" s="208"/>
      <c r="WNA303" s="208"/>
      <c r="WNB303" s="208"/>
      <c r="WNC303" s="208"/>
      <c r="WND303" s="208"/>
      <c r="WNE303" s="208"/>
      <c r="WNF303" s="208"/>
      <c r="WNG303" s="208"/>
      <c r="WNH303" s="208"/>
      <c r="WNI303" s="208"/>
      <c r="WNJ303" s="208"/>
      <c r="WNK303" s="208"/>
      <c r="WNL303" s="208"/>
      <c r="WNM303" s="208"/>
      <c r="WNN303" s="208"/>
      <c r="WNO303" s="208"/>
      <c r="WNP303" s="208"/>
      <c r="WNQ303" s="208"/>
      <c r="WNR303" s="208"/>
      <c r="WNS303" s="208"/>
      <c r="WNT303" s="208"/>
      <c r="WNU303" s="208"/>
      <c r="WNV303" s="208"/>
      <c r="WNW303" s="208"/>
      <c r="WNX303" s="208"/>
      <c r="WNY303" s="208"/>
      <c r="WNZ303" s="208"/>
      <c r="WOA303" s="208"/>
      <c r="WOB303" s="208"/>
      <c r="WOC303" s="208"/>
      <c r="WOD303" s="208"/>
      <c r="WOE303" s="208"/>
      <c r="WOF303" s="208"/>
      <c r="WOG303" s="208"/>
      <c r="WOH303" s="208"/>
      <c r="WOI303" s="208"/>
      <c r="WOJ303" s="208"/>
      <c r="WOK303" s="208"/>
      <c r="WOL303" s="208"/>
      <c r="WOM303" s="208"/>
      <c r="WON303" s="208"/>
      <c r="WOO303" s="208"/>
      <c r="WOP303" s="208"/>
      <c r="WOQ303" s="208"/>
      <c r="WOR303" s="208"/>
      <c r="WOS303" s="208"/>
      <c r="WOT303" s="208"/>
      <c r="WOU303" s="208"/>
      <c r="WOV303" s="208"/>
      <c r="WOW303" s="208"/>
      <c r="WOX303" s="208"/>
      <c r="WOY303" s="208"/>
      <c r="WOZ303" s="208"/>
      <c r="WPA303" s="208"/>
      <c r="WPB303" s="208"/>
      <c r="WPC303" s="208"/>
      <c r="WPD303" s="208"/>
      <c r="WPE303" s="208"/>
      <c r="WPF303" s="208"/>
      <c r="WPG303" s="208"/>
      <c r="WPH303" s="208"/>
      <c r="WPI303" s="208"/>
      <c r="WPJ303" s="208"/>
      <c r="WPK303" s="208"/>
      <c r="WPL303" s="208"/>
      <c r="WPM303" s="208"/>
      <c r="WPN303" s="208"/>
      <c r="WPO303" s="208"/>
      <c r="WPP303" s="208"/>
      <c r="WPQ303" s="208"/>
      <c r="WPR303" s="208"/>
      <c r="WPS303" s="208"/>
      <c r="WPT303" s="208"/>
      <c r="WPU303" s="208"/>
      <c r="WPV303" s="208"/>
      <c r="WPW303" s="208"/>
      <c r="WPX303" s="208"/>
      <c r="WPY303" s="208"/>
      <c r="WPZ303" s="208"/>
      <c r="WQA303" s="208"/>
      <c r="WQB303" s="208"/>
      <c r="WQC303" s="208"/>
      <c r="WQD303" s="208"/>
      <c r="WQE303" s="208"/>
      <c r="WQF303" s="208"/>
      <c r="WQG303" s="208"/>
      <c r="WQH303" s="208"/>
      <c r="WQI303" s="208"/>
      <c r="WQJ303" s="208"/>
      <c r="WQK303" s="208"/>
      <c r="WQL303" s="208"/>
      <c r="WQM303" s="208"/>
      <c r="WQN303" s="208"/>
      <c r="WQO303" s="208"/>
      <c r="WQP303" s="208"/>
      <c r="WQQ303" s="208"/>
      <c r="WQR303" s="208"/>
      <c r="WQS303" s="208"/>
      <c r="WQT303" s="208"/>
      <c r="WQU303" s="208"/>
      <c r="WQV303" s="208"/>
      <c r="WQW303" s="208"/>
      <c r="WQX303" s="208"/>
      <c r="WQY303" s="208"/>
      <c r="WQZ303" s="208"/>
      <c r="WRA303" s="208"/>
      <c r="WRB303" s="208"/>
      <c r="WRC303" s="208"/>
      <c r="WRD303" s="208"/>
      <c r="WRE303" s="208"/>
      <c r="WRF303" s="208"/>
      <c r="WRG303" s="208"/>
      <c r="WRH303" s="208"/>
      <c r="WRI303" s="208"/>
      <c r="WRJ303" s="208"/>
      <c r="WRK303" s="208"/>
      <c r="WRL303" s="208"/>
      <c r="WRM303" s="208"/>
      <c r="WRN303" s="208"/>
      <c r="WRO303" s="208"/>
      <c r="WRP303" s="208"/>
      <c r="WRQ303" s="208"/>
      <c r="WRR303" s="208"/>
      <c r="WRS303" s="208"/>
      <c r="WRT303" s="208"/>
      <c r="WRU303" s="208"/>
      <c r="WRV303" s="208"/>
      <c r="WRW303" s="208"/>
      <c r="WRX303" s="208"/>
      <c r="WRY303" s="208"/>
      <c r="WRZ303" s="208"/>
      <c r="WSA303" s="208"/>
      <c r="WSB303" s="208"/>
      <c r="WSC303" s="208"/>
      <c r="WSD303" s="208"/>
      <c r="WSE303" s="208"/>
      <c r="WSF303" s="208"/>
      <c r="WSG303" s="208"/>
      <c r="WSH303" s="208"/>
      <c r="WSI303" s="208"/>
      <c r="WSJ303" s="208"/>
      <c r="WSK303" s="208"/>
      <c r="WSL303" s="208"/>
      <c r="WSM303" s="208"/>
      <c r="WSN303" s="208"/>
      <c r="WSO303" s="208"/>
      <c r="WSP303" s="208"/>
      <c r="WSQ303" s="208"/>
      <c r="WSR303" s="208"/>
      <c r="WSS303" s="208"/>
      <c r="WST303" s="208"/>
      <c r="WSU303" s="208"/>
      <c r="WSV303" s="208"/>
      <c r="WSW303" s="208"/>
      <c r="WSX303" s="208"/>
      <c r="WSY303" s="208"/>
      <c r="WSZ303" s="208"/>
      <c r="WTA303" s="208"/>
      <c r="WTB303" s="208"/>
      <c r="WTC303" s="208"/>
      <c r="WTD303" s="208"/>
      <c r="WTE303" s="208"/>
      <c r="WTF303" s="208"/>
      <c r="WTG303" s="208"/>
      <c r="WTH303" s="208"/>
      <c r="WTI303" s="208"/>
      <c r="WTJ303" s="208"/>
      <c r="WTK303" s="208"/>
      <c r="WTL303" s="208"/>
      <c r="WTM303" s="208"/>
      <c r="WTN303" s="208"/>
      <c r="WTO303" s="208"/>
      <c r="WTP303" s="208"/>
      <c r="WTQ303" s="208"/>
      <c r="WTR303" s="208"/>
      <c r="WTS303" s="208"/>
      <c r="WTT303" s="208"/>
      <c r="WTU303" s="208"/>
      <c r="WTV303" s="208"/>
      <c r="WTW303" s="208"/>
      <c r="WTX303" s="208"/>
      <c r="WTY303" s="208"/>
      <c r="WTZ303" s="208"/>
      <c r="WUA303" s="208"/>
      <c r="WUB303" s="208"/>
      <c r="WUC303" s="208"/>
      <c r="WUD303" s="208"/>
      <c r="WUE303" s="208"/>
      <c r="WUF303" s="208"/>
      <c r="WUG303" s="208"/>
      <c r="WUH303" s="208"/>
      <c r="WUI303" s="208"/>
      <c r="WUJ303" s="208"/>
      <c r="WUK303" s="208"/>
      <c r="WUL303" s="208"/>
      <c r="WUM303" s="208"/>
      <c r="WUN303" s="208"/>
      <c r="WUO303" s="208"/>
      <c r="WUP303" s="208"/>
      <c r="WUQ303" s="208"/>
      <c r="WUR303" s="208"/>
      <c r="WUS303" s="208"/>
      <c r="WUT303" s="208"/>
      <c r="WUU303" s="208"/>
      <c r="WUV303" s="208"/>
      <c r="WUW303" s="208"/>
      <c r="WUX303" s="208"/>
      <c r="WUY303" s="208"/>
      <c r="WUZ303" s="208"/>
      <c r="WVA303" s="208"/>
      <c r="WVB303" s="208"/>
      <c r="WVC303" s="208"/>
      <c r="WVD303" s="208"/>
      <c r="WVE303" s="208"/>
      <c r="WVF303" s="208"/>
      <c r="WVG303" s="208"/>
      <c r="WVH303" s="208"/>
      <c r="WVI303" s="208"/>
      <c r="WVJ303" s="208"/>
      <c r="WVK303" s="208"/>
      <c r="WVL303" s="208"/>
      <c r="WVM303" s="208"/>
      <c r="WVN303" s="208"/>
      <c r="WVO303" s="208"/>
      <c r="WVP303" s="208"/>
      <c r="WVQ303" s="208"/>
      <c r="WVR303" s="208"/>
      <c r="WVS303" s="208"/>
      <c r="WVT303" s="208"/>
      <c r="WVU303" s="208"/>
      <c r="WVV303" s="208"/>
      <c r="WVW303" s="208"/>
      <c r="WVX303" s="208"/>
      <c r="WVY303" s="208"/>
      <c r="WVZ303" s="208"/>
      <c r="WWA303" s="208"/>
      <c r="WWB303" s="208"/>
      <c r="WWC303" s="208"/>
      <c r="WWD303" s="208"/>
      <c r="WWE303" s="208"/>
      <c r="WWF303" s="208"/>
      <c r="WWG303" s="208"/>
      <c r="WWH303" s="208"/>
      <c r="WWI303" s="208"/>
      <c r="WWJ303" s="208"/>
      <c r="WWK303" s="208"/>
      <c r="WWL303" s="208"/>
      <c r="WWM303" s="208"/>
      <c r="WWN303" s="208"/>
      <c r="WWO303" s="208"/>
      <c r="WWP303" s="208"/>
      <c r="WWQ303" s="208"/>
      <c r="WWR303" s="208"/>
      <c r="WWS303" s="208"/>
      <c r="WWT303" s="208"/>
      <c r="WWU303" s="208"/>
      <c r="WWV303" s="208"/>
      <c r="WWW303" s="208"/>
      <c r="WWX303" s="208"/>
      <c r="WWY303" s="208"/>
      <c r="WWZ303" s="208"/>
      <c r="WXA303" s="208"/>
      <c r="WXB303" s="208"/>
      <c r="WXC303" s="208"/>
      <c r="WXD303" s="208"/>
      <c r="WXE303" s="208"/>
      <c r="WXF303" s="208"/>
      <c r="WXG303" s="208"/>
      <c r="WXH303" s="208"/>
      <c r="WXI303" s="208"/>
      <c r="WXJ303" s="208"/>
      <c r="WXK303" s="208"/>
      <c r="WXL303" s="208"/>
      <c r="WXM303" s="208"/>
      <c r="WXN303" s="208"/>
      <c r="WXO303" s="208"/>
      <c r="WXP303" s="208"/>
      <c r="WXQ303" s="208"/>
      <c r="WXR303" s="208"/>
      <c r="WXS303" s="208"/>
      <c r="WXT303" s="208"/>
      <c r="WXU303" s="208"/>
      <c r="WXV303" s="208"/>
      <c r="WXW303" s="208"/>
      <c r="WXX303" s="208"/>
      <c r="WXY303" s="208"/>
      <c r="WXZ303" s="208"/>
      <c r="WYA303" s="208"/>
      <c r="WYB303" s="208"/>
      <c r="WYC303" s="208"/>
      <c r="WYD303" s="208"/>
      <c r="WYE303" s="208"/>
      <c r="WYF303" s="208"/>
      <c r="WYG303" s="208"/>
      <c r="WYH303" s="208"/>
      <c r="WYI303" s="208"/>
      <c r="WYJ303" s="208"/>
      <c r="WYK303" s="208"/>
      <c r="WYL303" s="208"/>
      <c r="WYM303" s="208"/>
      <c r="WYN303" s="208"/>
      <c r="WYO303" s="208"/>
      <c r="WYP303" s="208"/>
      <c r="WYQ303" s="208"/>
      <c r="WYR303" s="208"/>
      <c r="WYS303" s="208"/>
      <c r="WYT303" s="208"/>
      <c r="WYU303" s="208"/>
      <c r="WYV303" s="208"/>
      <c r="WYW303" s="208"/>
      <c r="WYX303" s="208"/>
      <c r="WYY303" s="208"/>
      <c r="WYZ303" s="208"/>
      <c r="WZA303" s="208"/>
      <c r="WZB303" s="208"/>
      <c r="WZC303" s="208"/>
      <c r="WZD303" s="208"/>
      <c r="WZE303" s="208"/>
      <c r="WZF303" s="208"/>
      <c r="WZG303" s="208"/>
      <c r="WZH303" s="208"/>
      <c r="WZI303" s="208"/>
      <c r="WZJ303" s="208"/>
      <c r="WZK303" s="208"/>
      <c r="WZL303" s="208"/>
      <c r="WZM303" s="208"/>
      <c r="WZN303" s="208"/>
      <c r="WZO303" s="208"/>
      <c r="WZP303" s="208"/>
      <c r="WZQ303" s="208"/>
      <c r="WZR303" s="208"/>
      <c r="WZS303" s="208"/>
      <c r="WZT303" s="208"/>
      <c r="WZU303" s="208"/>
      <c r="WZV303" s="208"/>
      <c r="WZW303" s="208"/>
      <c r="WZX303" s="208"/>
      <c r="WZY303" s="208"/>
      <c r="WZZ303" s="208"/>
      <c r="XAA303" s="208"/>
      <c r="XAB303" s="208"/>
      <c r="XAC303" s="208"/>
      <c r="XAD303" s="208"/>
      <c r="XAE303" s="208"/>
      <c r="XAF303" s="208"/>
      <c r="XAG303" s="208"/>
      <c r="XAH303" s="208"/>
      <c r="XAI303" s="208"/>
      <c r="XAJ303" s="208"/>
      <c r="XAK303" s="208"/>
      <c r="XAL303" s="208"/>
      <c r="XAM303" s="208"/>
      <c r="XAN303" s="208"/>
      <c r="XAO303" s="208"/>
      <c r="XAP303" s="208"/>
      <c r="XAQ303" s="208"/>
      <c r="XAR303" s="208"/>
      <c r="XAS303" s="208"/>
      <c r="XAT303" s="208"/>
      <c r="XAU303" s="208"/>
      <c r="XAV303" s="208"/>
      <c r="XAW303" s="208"/>
      <c r="XAX303" s="208"/>
      <c r="XAY303" s="208"/>
      <c r="XAZ303" s="208"/>
      <c r="XBA303" s="208"/>
      <c r="XBB303" s="208"/>
      <c r="XBC303" s="208"/>
      <c r="XBD303" s="208"/>
      <c r="XBE303" s="208"/>
      <c r="XBF303" s="208"/>
      <c r="XBG303" s="208"/>
      <c r="XBH303" s="208"/>
      <c r="XBI303" s="208"/>
      <c r="XBJ303" s="208"/>
      <c r="XBK303" s="208"/>
      <c r="XBL303" s="208"/>
      <c r="XBM303" s="208"/>
      <c r="XBN303" s="208"/>
      <c r="XBO303" s="208"/>
      <c r="XBP303" s="208"/>
      <c r="XBQ303" s="208"/>
      <c r="XBR303" s="208"/>
      <c r="XBS303" s="208"/>
      <c r="XBT303" s="208"/>
      <c r="XBU303" s="208"/>
      <c r="XBV303" s="208"/>
      <c r="XBW303" s="208"/>
      <c r="XBX303" s="208"/>
      <c r="XBY303" s="208"/>
      <c r="XBZ303" s="208"/>
      <c r="XCA303" s="208"/>
      <c r="XCB303" s="208"/>
      <c r="XCC303" s="208"/>
      <c r="XCD303" s="208"/>
      <c r="XCE303" s="208"/>
      <c r="XCF303" s="208"/>
      <c r="XCG303" s="208"/>
      <c r="XCH303" s="208"/>
      <c r="XCI303" s="208"/>
      <c r="XCJ303" s="208"/>
      <c r="XCK303" s="208"/>
      <c r="XCL303" s="208"/>
      <c r="XCM303" s="208"/>
      <c r="XCN303" s="208"/>
      <c r="XCO303" s="208"/>
      <c r="XCP303" s="208"/>
      <c r="XCQ303" s="208"/>
      <c r="XCR303" s="208"/>
      <c r="XCS303" s="208"/>
      <c r="XCT303" s="208"/>
      <c r="XCU303" s="208"/>
      <c r="XCV303" s="208"/>
      <c r="XCW303" s="208"/>
      <c r="XCX303" s="208"/>
      <c r="XCY303" s="208"/>
      <c r="XCZ303" s="208"/>
      <c r="XDA303" s="208"/>
      <c r="XDB303" s="208"/>
      <c r="XDC303" s="208"/>
      <c r="XDD303" s="208"/>
      <c r="XDE303" s="208"/>
      <c r="XDF303" s="208"/>
      <c r="XDG303" s="208"/>
      <c r="XDH303" s="208"/>
      <c r="XDI303" s="208"/>
      <c r="XDJ303" s="208"/>
      <c r="XDK303" s="208"/>
      <c r="XDL303" s="208"/>
      <c r="XDM303" s="208"/>
      <c r="XDN303" s="208"/>
      <c r="XDO303" s="208"/>
      <c r="XDP303" s="208"/>
      <c r="XDQ303" s="208"/>
      <c r="XDR303" s="208"/>
      <c r="XDS303" s="208"/>
      <c r="XDT303" s="208"/>
      <c r="XDU303" s="208"/>
      <c r="XDV303" s="208"/>
      <c r="XDW303" s="208"/>
      <c r="XDX303" s="208"/>
      <c r="XDY303" s="208"/>
      <c r="XDZ303" s="208"/>
      <c r="XEA303" s="208"/>
      <c r="XEB303" s="208"/>
      <c r="XEC303" s="208"/>
      <c r="XED303" s="208"/>
      <c r="XEE303" s="208"/>
      <c r="XEF303" s="208"/>
      <c r="XEG303" s="208"/>
      <c r="XEH303" s="208"/>
      <c r="XEI303" s="208"/>
      <c r="XEJ303" s="208"/>
      <c r="XEK303" s="208"/>
      <c r="XEL303" s="208"/>
      <c r="XEM303" s="208"/>
      <c r="XEN303" s="208"/>
      <c r="XEO303" s="208"/>
      <c r="XEP303" s="208"/>
      <c r="XEQ303" s="208"/>
      <c r="XER303" s="208"/>
      <c r="XES303" s="208"/>
      <c r="XET303" s="208"/>
      <c r="XEU303" s="208"/>
      <c r="XEV303" s="208"/>
      <c r="XEW303" s="208"/>
      <c r="XEX303" s="208"/>
      <c r="XEY303" s="208"/>
      <c r="XEZ303" s="208"/>
      <c r="XFA303" s="208"/>
      <c r="XFB303" s="208"/>
      <c r="XFC303" s="208"/>
      <c r="XFD303" s="208"/>
    </row>
    <row r="304" spans="1:16384" s="2" customFormat="1" ht="47.25" customHeight="1" x14ac:dyDescent="0.25">
      <c r="A304" s="200"/>
      <c r="B304" s="201"/>
      <c r="C304" s="202" t="s">
        <v>42</v>
      </c>
      <c r="D304" s="203" t="s">
        <v>65</v>
      </c>
      <c r="E304" s="204">
        <f>SUM(E301:E303)</f>
        <v>10883.317000000001</v>
      </c>
      <c r="F304" s="204"/>
      <c r="G304" s="173">
        <f>SUM(G301:G302)</f>
        <v>35432.221799999999</v>
      </c>
      <c r="H304" s="173">
        <f>SUM(H301:H302)</f>
        <v>244240.31500000003</v>
      </c>
      <c r="I304" s="173"/>
      <c r="J304" s="173"/>
      <c r="K304" s="173"/>
      <c r="L304" s="201"/>
      <c r="M304" s="201"/>
      <c r="N304" s="201"/>
      <c r="O304" s="201"/>
      <c r="P304" s="173">
        <v>32980.07</v>
      </c>
      <c r="Q304" s="205"/>
      <c r="R304" s="206"/>
      <c r="S304" s="207"/>
    </row>
    <row r="305" spans="1:20" s="2" customFormat="1" ht="21" customHeight="1" x14ac:dyDescent="0.25">
      <c r="A305" s="20"/>
      <c r="B305" s="129"/>
      <c r="C305" s="131" t="s">
        <v>42</v>
      </c>
      <c r="D305" s="99" t="s">
        <v>70</v>
      </c>
      <c r="E305" s="93">
        <v>389.14</v>
      </c>
      <c r="F305" s="94">
        <v>3.37</v>
      </c>
      <c r="G305" s="94">
        <v>1311.4018000000001</v>
      </c>
      <c r="H305" s="94">
        <v>15565.599999999999</v>
      </c>
      <c r="I305" s="94"/>
      <c r="J305" s="94"/>
      <c r="K305" s="94"/>
      <c r="L305" s="129"/>
      <c r="M305" s="129"/>
      <c r="N305" s="129"/>
      <c r="O305" s="129"/>
      <c r="P305" s="94">
        <v>0</v>
      </c>
      <c r="Q305" s="73"/>
      <c r="R305" s="74"/>
      <c r="S305" s="47"/>
    </row>
    <row r="306" spans="1:20" s="2" customFormat="1" ht="48" customHeight="1" x14ac:dyDescent="0.25">
      <c r="A306" s="18"/>
      <c r="B306" s="122"/>
      <c r="C306" s="132" t="s">
        <v>42</v>
      </c>
      <c r="D306" s="100" t="s">
        <v>69</v>
      </c>
      <c r="E306" s="89">
        <f>SUM(E304:E305)</f>
        <v>11272.457</v>
      </c>
      <c r="F306" s="89"/>
      <c r="G306" s="87">
        <f t="shared" ref="G306:H306" si="79">SUM(G304:G305)</f>
        <v>36743.623599999999</v>
      </c>
      <c r="H306" s="87">
        <f t="shared" si="79"/>
        <v>259805.91500000004</v>
      </c>
      <c r="I306" s="87"/>
      <c r="J306" s="87"/>
      <c r="K306" s="87"/>
      <c r="L306" s="122"/>
      <c r="M306" s="122"/>
      <c r="N306" s="122"/>
      <c r="O306" s="122"/>
      <c r="P306" s="87">
        <v>32980.07</v>
      </c>
      <c r="Q306" s="76"/>
      <c r="R306" s="77"/>
      <c r="S306" s="50"/>
    </row>
    <row r="307" spans="1:20" s="2" customFormat="1" ht="20.25" customHeight="1" x14ac:dyDescent="0.25">
      <c r="A307" s="20"/>
      <c r="B307" s="129"/>
      <c r="C307" s="131" t="s">
        <v>42</v>
      </c>
      <c r="D307" s="99" t="s">
        <v>71</v>
      </c>
      <c r="E307" s="93">
        <v>360.4</v>
      </c>
      <c r="F307" s="94">
        <v>3.45</v>
      </c>
      <c r="G307" s="94">
        <f>E307*F307</f>
        <v>1243.3799999999999</v>
      </c>
      <c r="H307" s="94">
        <f>E307*45</f>
        <v>16217.999999999998</v>
      </c>
      <c r="I307" s="94"/>
      <c r="J307" s="94"/>
      <c r="K307" s="94"/>
      <c r="L307" s="129"/>
      <c r="M307" s="129"/>
      <c r="N307" s="129"/>
      <c r="O307" s="129"/>
      <c r="P307" s="94">
        <v>0</v>
      </c>
      <c r="Q307" s="73"/>
      <c r="R307" s="74"/>
      <c r="S307" s="47"/>
    </row>
    <row r="308" spans="1:20" s="2" customFormat="1" ht="43.5" customHeight="1" x14ac:dyDescent="0.25">
      <c r="A308" s="18"/>
      <c r="B308" s="122"/>
      <c r="C308" s="132" t="s">
        <v>42</v>
      </c>
      <c r="D308" s="100" t="s">
        <v>72</v>
      </c>
      <c r="E308" s="89">
        <f>SUM(E306:E307)</f>
        <v>11632.857</v>
      </c>
      <c r="F308" s="89"/>
      <c r="G308" s="87">
        <f t="shared" ref="G308:H308" si="80">SUM(G306:G307)</f>
        <v>37987.003599999996</v>
      </c>
      <c r="H308" s="87">
        <f t="shared" si="80"/>
        <v>276023.91500000004</v>
      </c>
      <c r="I308" s="87"/>
      <c r="J308" s="87"/>
      <c r="K308" s="87"/>
      <c r="L308" s="122"/>
      <c r="M308" s="122"/>
      <c r="N308" s="122"/>
      <c r="O308" s="122"/>
      <c r="P308" s="87">
        <v>32980.07</v>
      </c>
      <c r="Q308" s="76"/>
      <c r="R308" s="77"/>
      <c r="S308" s="50"/>
    </row>
    <row r="309" spans="1:20" s="2" customFormat="1" ht="21.75" customHeight="1" x14ac:dyDescent="0.25">
      <c r="A309" s="20"/>
      <c r="B309" s="129"/>
      <c r="C309" s="131" t="s">
        <v>42</v>
      </c>
      <c r="D309" s="99" t="s">
        <v>73</v>
      </c>
      <c r="E309" s="93">
        <v>449.06</v>
      </c>
      <c r="F309" s="94">
        <v>3.45</v>
      </c>
      <c r="G309" s="94">
        <f>E309*F309</f>
        <v>1549.2570000000001</v>
      </c>
      <c r="H309" s="94">
        <f>E309*45</f>
        <v>20207.7</v>
      </c>
      <c r="I309" s="94"/>
      <c r="J309" s="94"/>
      <c r="K309" s="94"/>
      <c r="L309" s="129"/>
      <c r="M309" s="129"/>
      <c r="N309" s="129"/>
      <c r="O309" s="129"/>
      <c r="P309" s="94">
        <v>0</v>
      </c>
      <c r="Q309" s="73"/>
      <c r="R309" s="74"/>
      <c r="S309" s="47"/>
    </row>
    <row r="310" spans="1:20" s="2" customFormat="1" ht="43.5" customHeight="1" x14ac:dyDescent="0.25">
      <c r="A310" s="18"/>
      <c r="B310" s="122"/>
      <c r="C310" s="132" t="s">
        <v>42</v>
      </c>
      <c r="D310" s="100" t="s">
        <v>74</v>
      </c>
      <c r="E310" s="89">
        <f>SUM(E308:E309)</f>
        <v>12081.916999999999</v>
      </c>
      <c r="F310" s="89"/>
      <c r="G310" s="87">
        <f t="shared" ref="G310:H310" si="81">SUM(G308:G309)</f>
        <v>39536.260599999994</v>
      </c>
      <c r="H310" s="87">
        <f t="shared" si="81"/>
        <v>296231.61500000005</v>
      </c>
      <c r="I310" s="87"/>
      <c r="J310" s="87"/>
      <c r="K310" s="87"/>
      <c r="L310" s="122"/>
      <c r="M310" s="122"/>
      <c r="N310" s="122"/>
      <c r="O310" s="122"/>
      <c r="P310" s="87">
        <v>32980.07</v>
      </c>
      <c r="Q310" s="76"/>
      <c r="R310" s="77"/>
      <c r="S310" s="50"/>
    </row>
    <row r="311" spans="1:20" s="2" customFormat="1" ht="19.5" customHeight="1" x14ac:dyDescent="0.25">
      <c r="A311" s="20"/>
      <c r="B311" s="129"/>
      <c r="C311" s="131" t="s">
        <v>42</v>
      </c>
      <c r="D311" s="99" t="s">
        <v>76</v>
      </c>
      <c r="E311" s="93">
        <v>404.78</v>
      </c>
      <c r="F311" s="94">
        <v>3.45</v>
      </c>
      <c r="G311" s="94">
        <f>E311*F311</f>
        <v>1396.491</v>
      </c>
      <c r="H311" s="94">
        <f>E311*45</f>
        <v>18215.099999999999</v>
      </c>
      <c r="I311" s="94"/>
      <c r="J311" s="94"/>
      <c r="K311" s="94"/>
      <c r="L311" s="129"/>
      <c r="M311" s="129"/>
      <c r="N311" s="129"/>
      <c r="O311" s="129"/>
      <c r="P311" s="94">
        <v>0</v>
      </c>
      <c r="Q311" s="73"/>
      <c r="R311" s="74"/>
      <c r="S311" s="47"/>
    </row>
    <row r="312" spans="1:20" s="2" customFormat="1" ht="39.75" customHeight="1" x14ac:dyDescent="0.25">
      <c r="A312" s="20"/>
      <c r="B312" s="129"/>
      <c r="C312" s="131" t="s">
        <v>45</v>
      </c>
      <c r="D312" s="104"/>
      <c r="E312" s="93">
        <v>15.54</v>
      </c>
      <c r="F312" s="94">
        <v>0</v>
      </c>
      <c r="G312" s="94">
        <v>0</v>
      </c>
      <c r="H312" s="94">
        <v>0</v>
      </c>
      <c r="I312" s="94"/>
      <c r="J312" s="94"/>
      <c r="K312" s="94"/>
      <c r="L312" s="129"/>
      <c r="M312" s="129"/>
      <c r="N312" s="129"/>
      <c r="O312" s="129"/>
      <c r="P312" s="94"/>
      <c r="Q312" s="73"/>
      <c r="R312" s="74"/>
      <c r="S312" s="47"/>
    </row>
    <row r="313" spans="1:20" s="2" customFormat="1" ht="43.5" customHeight="1" x14ac:dyDescent="0.25">
      <c r="A313" s="18"/>
      <c r="B313" s="122"/>
      <c r="C313" s="132" t="s">
        <v>42</v>
      </c>
      <c r="D313" s="100" t="s">
        <v>77</v>
      </c>
      <c r="E313" s="89">
        <f>SUM(E310:E312)</f>
        <v>12502.237000000001</v>
      </c>
      <c r="F313" s="89"/>
      <c r="G313" s="87">
        <f t="shared" ref="G313:H313" si="82">SUM(G310:G312)</f>
        <v>40932.751599999996</v>
      </c>
      <c r="H313" s="87">
        <f t="shared" si="82"/>
        <v>314446.71500000003</v>
      </c>
      <c r="I313" s="87"/>
      <c r="J313" s="87"/>
      <c r="K313" s="87"/>
      <c r="L313" s="122"/>
      <c r="M313" s="122"/>
      <c r="N313" s="122"/>
      <c r="O313" s="122"/>
      <c r="P313" s="87">
        <v>32980.07</v>
      </c>
      <c r="Q313" s="76"/>
      <c r="R313" s="77"/>
      <c r="S313" s="50"/>
    </row>
    <row r="314" spans="1:20" s="2" customFormat="1" ht="19.5" customHeight="1" x14ac:dyDescent="0.25">
      <c r="A314" s="20"/>
      <c r="B314" s="129"/>
      <c r="C314" s="131" t="s">
        <v>42</v>
      </c>
      <c r="D314" s="99" t="s">
        <v>78</v>
      </c>
      <c r="E314" s="93">
        <v>225.04</v>
      </c>
      <c r="F314" s="94">
        <v>3.45</v>
      </c>
      <c r="G314" s="94">
        <f>E314*F314</f>
        <v>776.38800000000003</v>
      </c>
      <c r="H314" s="94">
        <f>E314*45</f>
        <v>10126.799999999999</v>
      </c>
      <c r="I314" s="94"/>
      <c r="J314" s="94"/>
      <c r="K314" s="94"/>
      <c r="L314" s="129"/>
      <c r="M314" s="129"/>
      <c r="N314" s="129"/>
      <c r="O314" s="129"/>
      <c r="P314" s="94">
        <v>48379.39</v>
      </c>
      <c r="Q314" s="73"/>
      <c r="R314" s="74"/>
      <c r="S314" s="47"/>
    </row>
    <row r="315" spans="1:20" s="2" customFormat="1" ht="43.5" customHeight="1" x14ac:dyDescent="0.25">
      <c r="A315" s="18"/>
      <c r="B315" s="122"/>
      <c r="C315" s="132" t="s">
        <v>42</v>
      </c>
      <c r="D315" s="100" t="s">
        <v>79</v>
      </c>
      <c r="E315" s="89">
        <f>SUM(E313:E314)</f>
        <v>12727.277000000002</v>
      </c>
      <c r="F315" s="89"/>
      <c r="G315" s="87">
        <f t="shared" ref="G315:H315" si="83">SUM(G313:G314)</f>
        <v>41709.139599999995</v>
      </c>
      <c r="H315" s="87">
        <f t="shared" si="83"/>
        <v>324573.51500000001</v>
      </c>
      <c r="I315" s="87"/>
      <c r="J315" s="87"/>
      <c r="K315" s="87"/>
      <c r="L315" s="122"/>
      <c r="M315" s="122"/>
      <c r="N315" s="122"/>
      <c r="O315" s="122"/>
      <c r="P315" s="87">
        <f>P313+P314</f>
        <v>81359.459999999992</v>
      </c>
      <c r="Q315" s="76"/>
      <c r="R315" s="77"/>
      <c r="S315" s="50"/>
    </row>
    <row r="316" spans="1:20" s="2" customFormat="1" ht="19.5" customHeight="1" x14ac:dyDescent="0.25">
      <c r="A316" s="20"/>
      <c r="B316" s="129"/>
      <c r="C316" s="131" t="s">
        <v>42</v>
      </c>
      <c r="D316" s="99" t="s">
        <v>82</v>
      </c>
      <c r="E316" s="93">
        <v>156.44</v>
      </c>
      <c r="F316" s="94">
        <v>3.45</v>
      </c>
      <c r="G316" s="94">
        <f>E316*F316</f>
        <v>539.71800000000007</v>
      </c>
      <c r="H316" s="94">
        <f>E316*57</f>
        <v>8917.08</v>
      </c>
      <c r="I316" s="94"/>
      <c r="J316" s="94"/>
      <c r="K316" s="94"/>
      <c r="L316" s="129"/>
      <c r="M316" s="129"/>
      <c r="N316" s="129"/>
      <c r="O316" s="129"/>
      <c r="P316" s="94">
        <v>79512.7</v>
      </c>
      <c r="Q316" s="73"/>
      <c r="R316" s="74"/>
      <c r="S316" s="47"/>
    </row>
    <row r="317" spans="1:20" s="2" customFormat="1" ht="43.5" customHeight="1" x14ac:dyDescent="0.25">
      <c r="A317" s="18"/>
      <c r="B317" s="122"/>
      <c r="C317" s="132" t="s">
        <v>42</v>
      </c>
      <c r="D317" s="100" t="s">
        <v>81</v>
      </c>
      <c r="E317" s="89">
        <f>SUM(E315:E316)</f>
        <v>12883.717000000002</v>
      </c>
      <c r="F317" s="89"/>
      <c r="G317" s="87">
        <f t="shared" ref="G317:P317" si="84">SUM(G315:G316)</f>
        <v>42248.857599999996</v>
      </c>
      <c r="H317" s="87">
        <f t="shared" si="84"/>
        <v>333490.59500000003</v>
      </c>
      <c r="I317" s="87"/>
      <c r="J317" s="87"/>
      <c r="K317" s="87"/>
      <c r="L317" s="87"/>
      <c r="M317" s="87"/>
      <c r="N317" s="87"/>
      <c r="O317" s="87"/>
      <c r="P317" s="87">
        <f t="shared" si="84"/>
        <v>160872.15999999997</v>
      </c>
      <c r="Q317" s="76"/>
      <c r="R317" s="77"/>
      <c r="S317" s="50"/>
    </row>
    <row r="318" spans="1:20" s="2" customFormat="1" ht="23.25" customHeight="1" x14ac:dyDescent="0.25">
      <c r="A318" s="20"/>
      <c r="B318" s="129"/>
      <c r="C318" s="131" t="s">
        <v>42</v>
      </c>
      <c r="D318" s="99" t="s">
        <v>84</v>
      </c>
      <c r="E318" s="93">
        <v>283.64299999999997</v>
      </c>
      <c r="F318" s="94">
        <v>3.45</v>
      </c>
      <c r="G318" s="94">
        <f>E318*F318</f>
        <v>978.56835000000001</v>
      </c>
      <c r="H318" s="94">
        <f>E318*57</f>
        <v>16167.650999999998</v>
      </c>
      <c r="I318" s="94"/>
      <c r="J318" s="94"/>
      <c r="K318" s="94"/>
      <c r="L318" s="94"/>
      <c r="M318" s="94"/>
      <c r="N318" s="94"/>
      <c r="O318" s="94"/>
      <c r="P318" s="94">
        <v>52080</v>
      </c>
      <c r="Q318" s="73"/>
      <c r="R318" s="74"/>
      <c r="S318" s="47"/>
    </row>
    <row r="319" spans="1:20" s="2" customFormat="1" ht="43.5" customHeight="1" x14ac:dyDescent="0.25">
      <c r="A319" s="18"/>
      <c r="B319" s="122"/>
      <c r="C319" s="132" t="s">
        <v>42</v>
      </c>
      <c r="D319" s="100" t="s">
        <v>86</v>
      </c>
      <c r="E319" s="89">
        <f>SUM(E317:E318)</f>
        <v>13167.360000000002</v>
      </c>
      <c r="F319" s="89"/>
      <c r="G319" s="87">
        <f t="shared" ref="G319:P319" si="85">SUM(G317:G318)</f>
        <v>43227.425949999997</v>
      </c>
      <c r="H319" s="87">
        <f t="shared" si="85"/>
        <v>349658.24600000004</v>
      </c>
      <c r="I319" s="87"/>
      <c r="J319" s="87"/>
      <c r="K319" s="87"/>
      <c r="L319" s="89"/>
      <c r="M319" s="89"/>
      <c r="N319" s="89"/>
      <c r="O319" s="89"/>
      <c r="P319" s="87">
        <f t="shared" si="85"/>
        <v>212952.15999999997</v>
      </c>
      <c r="Q319" s="87"/>
      <c r="R319" s="87"/>
      <c r="S319" s="87"/>
      <c r="T319" s="211"/>
    </row>
    <row r="320" spans="1:20" s="2" customFormat="1" ht="25.5" customHeight="1" x14ac:dyDescent="0.25">
      <c r="A320" s="20"/>
      <c r="B320" s="129"/>
      <c r="C320" s="131" t="s">
        <v>42</v>
      </c>
      <c r="D320" s="99" t="s">
        <v>89</v>
      </c>
      <c r="E320" s="93">
        <v>460.5</v>
      </c>
      <c r="F320" s="94">
        <v>3.45</v>
      </c>
      <c r="G320" s="94">
        <f>E320*F320</f>
        <v>1588.7250000000001</v>
      </c>
      <c r="H320" s="94">
        <f>E320*57</f>
        <v>26248.5</v>
      </c>
      <c r="I320" s="94"/>
      <c r="J320" s="94"/>
      <c r="K320" s="94"/>
      <c r="L320" s="94"/>
      <c r="M320" s="94"/>
      <c r="N320" s="93"/>
      <c r="O320" s="93"/>
      <c r="P320" s="94">
        <v>0</v>
      </c>
      <c r="Q320" s="94"/>
      <c r="R320" s="215"/>
      <c r="S320" s="94"/>
      <c r="T320" s="211"/>
    </row>
    <row r="321" spans="1:20" s="2" customFormat="1" ht="39" customHeight="1" x14ac:dyDescent="0.25">
      <c r="A321" s="20"/>
      <c r="B321" s="129"/>
      <c r="C321" s="131" t="s">
        <v>45</v>
      </c>
      <c r="D321" s="104"/>
      <c r="E321" s="93" t="s">
        <v>91</v>
      </c>
      <c r="F321" s="93"/>
      <c r="G321" s="94"/>
      <c r="H321" s="94"/>
      <c r="I321" s="94"/>
      <c r="J321" s="94"/>
      <c r="K321" s="94"/>
      <c r="L321" s="93"/>
      <c r="M321" s="93"/>
      <c r="N321" s="93"/>
      <c r="O321" s="93"/>
      <c r="P321" s="94"/>
      <c r="Q321" s="94"/>
      <c r="R321" s="215"/>
      <c r="S321" s="94"/>
      <c r="T321" s="211"/>
    </row>
    <row r="322" spans="1:20" s="2" customFormat="1" ht="43.5" customHeight="1" x14ac:dyDescent="0.25">
      <c r="A322" s="18"/>
      <c r="B322" s="122"/>
      <c r="C322" s="132" t="s">
        <v>42</v>
      </c>
      <c r="D322" s="100" t="s">
        <v>90</v>
      </c>
      <c r="E322" s="89">
        <v>13636.24</v>
      </c>
      <c r="F322" s="89"/>
      <c r="G322" s="87">
        <f t="shared" ref="G322:P322" si="86">SUM(G319:G321)</f>
        <v>44816.150949999996</v>
      </c>
      <c r="H322" s="87">
        <f t="shared" si="86"/>
        <v>375906.74600000004</v>
      </c>
      <c r="I322" s="87"/>
      <c r="J322" s="87"/>
      <c r="K322" s="87"/>
      <c r="L322" s="87"/>
      <c r="M322" s="87"/>
      <c r="N322" s="87"/>
      <c r="O322" s="87"/>
      <c r="P322" s="87">
        <f t="shared" si="86"/>
        <v>212952.15999999997</v>
      </c>
      <c r="Q322" s="87"/>
      <c r="R322" s="210"/>
      <c r="S322" s="87"/>
      <c r="T322" s="211"/>
    </row>
    <row r="323" spans="1:20" s="2" customFormat="1" ht="29.25" customHeight="1" x14ac:dyDescent="0.25">
      <c r="A323" s="20"/>
      <c r="B323" s="129"/>
      <c r="C323" s="131" t="s">
        <v>42</v>
      </c>
      <c r="D323" s="99" t="s">
        <v>93</v>
      </c>
      <c r="E323" s="93">
        <v>409.66</v>
      </c>
      <c r="F323" s="94">
        <v>3.45</v>
      </c>
      <c r="G323" s="94">
        <f>SUM(E323*F323)</f>
        <v>1413.3270000000002</v>
      </c>
      <c r="H323" s="94">
        <f>E323*57</f>
        <v>23350.620000000003</v>
      </c>
      <c r="I323" s="94"/>
      <c r="J323" s="94"/>
      <c r="K323" s="94"/>
      <c r="L323" s="94"/>
      <c r="M323" s="94"/>
      <c r="N323" s="94"/>
      <c r="O323" s="94"/>
      <c r="P323" s="94">
        <v>0</v>
      </c>
      <c r="Q323" s="94"/>
      <c r="R323" s="215"/>
      <c r="S323" s="94"/>
      <c r="T323" s="211"/>
    </row>
    <row r="324" spans="1:20" s="2" customFormat="1" ht="43.5" customHeight="1" x14ac:dyDescent="0.25">
      <c r="A324" s="18"/>
      <c r="B324" s="122"/>
      <c r="C324" s="132" t="s">
        <v>42</v>
      </c>
      <c r="D324" s="100" t="s">
        <v>94</v>
      </c>
      <c r="E324" s="89">
        <f>SUM(E322:E323)</f>
        <v>14045.9</v>
      </c>
      <c r="F324" s="89"/>
      <c r="G324" s="87">
        <f t="shared" ref="G324:H324" si="87">SUM(G322:G323)</f>
        <v>46229.477949999993</v>
      </c>
      <c r="H324" s="87">
        <f t="shared" si="87"/>
        <v>399257.36600000004</v>
      </c>
      <c r="I324" s="87"/>
      <c r="J324" s="87"/>
      <c r="K324" s="87"/>
      <c r="L324" s="87"/>
      <c r="M324" s="87"/>
      <c r="N324" s="87"/>
      <c r="O324" s="87"/>
      <c r="P324" s="87">
        <v>212952.16</v>
      </c>
      <c r="Q324" s="87"/>
      <c r="R324" s="210"/>
      <c r="S324" s="87"/>
      <c r="T324" s="211"/>
    </row>
    <row r="325" spans="1:20" s="2" customFormat="1" ht="90" customHeight="1" x14ac:dyDescent="0.25">
      <c r="A325" s="20"/>
      <c r="B325" s="129"/>
      <c r="C325" s="131" t="s">
        <v>42</v>
      </c>
      <c r="D325" s="99" t="s">
        <v>96</v>
      </c>
      <c r="E325" s="93">
        <v>355.8</v>
      </c>
      <c r="F325" s="94">
        <v>5.6</v>
      </c>
      <c r="G325" s="94">
        <f>SUM(E325*F325)</f>
        <v>1992.48</v>
      </c>
      <c r="H325" s="94">
        <v>32576.400000000001</v>
      </c>
      <c r="I325" s="94"/>
      <c r="J325" s="94"/>
      <c r="K325" s="94"/>
      <c r="L325" s="94"/>
      <c r="M325" s="94"/>
      <c r="N325" s="94"/>
      <c r="O325" s="94"/>
      <c r="P325" s="220" t="s">
        <v>131</v>
      </c>
      <c r="Q325" s="94"/>
      <c r="R325" s="215"/>
      <c r="S325" s="217" t="s">
        <v>105</v>
      </c>
      <c r="T325" s="211"/>
    </row>
    <row r="326" spans="1:20" s="2" customFormat="1" ht="43.5" customHeight="1" x14ac:dyDescent="0.25">
      <c r="A326" s="18"/>
      <c r="B326" s="122"/>
      <c r="C326" s="132" t="s">
        <v>42</v>
      </c>
      <c r="D326" s="100" t="s">
        <v>97</v>
      </c>
      <c r="E326" s="89">
        <f>SUM(E324:E325)</f>
        <v>14401.699999999999</v>
      </c>
      <c r="F326" s="89"/>
      <c r="G326" s="87">
        <f t="shared" ref="G326:H326" si="88">SUM(G324:G325)</f>
        <v>48221.957949999996</v>
      </c>
      <c r="H326" s="87">
        <f t="shared" si="88"/>
        <v>431833.76600000006</v>
      </c>
      <c r="I326" s="87"/>
      <c r="J326" s="87"/>
      <c r="K326" s="87"/>
      <c r="L326" s="87"/>
      <c r="M326" s="87"/>
      <c r="N326" s="87"/>
      <c r="O326" s="87"/>
      <c r="P326" s="221" t="s">
        <v>111</v>
      </c>
      <c r="Q326" s="87"/>
      <c r="R326" s="210"/>
      <c r="S326" s="87"/>
      <c r="T326" s="211"/>
    </row>
    <row r="327" spans="1:20" s="2" customFormat="1" ht="43.5" customHeight="1" x14ac:dyDescent="0.25">
      <c r="A327" s="20"/>
      <c r="B327" s="129"/>
      <c r="C327" s="131" t="s">
        <v>42</v>
      </c>
      <c r="D327" s="99" t="s">
        <v>119</v>
      </c>
      <c r="E327" s="93">
        <v>438.03</v>
      </c>
      <c r="F327" s="94">
        <v>5.6</v>
      </c>
      <c r="G327" s="94">
        <v>2453.14</v>
      </c>
      <c r="H327" s="94" t="s">
        <v>133</v>
      </c>
      <c r="I327" s="94"/>
      <c r="J327" s="94"/>
      <c r="K327" s="94"/>
      <c r="L327" s="94"/>
      <c r="M327" s="94"/>
      <c r="N327" s="94"/>
      <c r="O327" s="94"/>
      <c r="P327" s="220" t="s">
        <v>122</v>
      </c>
      <c r="Q327" s="94"/>
      <c r="R327" s="215"/>
      <c r="S327" s="94"/>
      <c r="T327" s="211"/>
    </row>
    <row r="328" spans="1:20" s="2" customFormat="1" ht="43.5" customHeight="1" x14ac:dyDescent="0.25">
      <c r="A328" s="18"/>
      <c r="B328" s="122"/>
      <c r="C328" s="132" t="s">
        <v>42</v>
      </c>
      <c r="D328" s="100" t="s">
        <v>120</v>
      </c>
      <c r="E328" s="89">
        <f>SUM(E326:E327)</f>
        <v>14839.73</v>
      </c>
      <c r="F328" s="89"/>
      <c r="G328" s="87">
        <f t="shared" ref="G328" si="89">SUM(G326:G327)</f>
        <v>50675.097949999996</v>
      </c>
      <c r="H328" s="87">
        <v>462059.91</v>
      </c>
      <c r="I328" s="87"/>
      <c r="J328" s="87"/>
      <c r="K328" s="87"/>
      <c r="L328" s="87"/>
      <c r="M328" s="87"/>
      <c r="N328" s="87"/>
      <c r="O328" s="87"/>
      <c r="P328" s="221" t="s">
        <v>138</v>
      </c>
      <c r="Q328" s="87"/>
      <c r="R328" s="210"/>
      <c r="S328" s="87"/>
      <c r="T328" s="211"/>
    </row>
    <row r="329" spans="1:20" s="2" customFormat="1" ht="30.75" customHeight="1" x14ac:dyDescent="0.25">
      <c r="A329" s="20"/>
      <c r="B329" s="129"/>
      <c r="C329" s="131" t="s">
        <v>42</v>
      </c>
      <c r="D329" s="99" t="s">
        <v>139</v>
      </c>
      <c r="E329" s="93">
        <v>461</v>
      </c>
      <c r="F329" s="94">
        <v>5.6</v>
      </c>
      <c r="G329" s="94">
        <f>SUM(E329*F329)</f>
        <v>2581.6</v>
      </c>
      <c r="H329" s="94">
        <f>SUM(E329*69)</f>
        <v>31809</v>
      </c>
      <c r="I329" s="94"/>
      <c r="J329" s="94"/>
      <c r="K329" s="94"/>
      <c r="L329" s="94"/>
      <c r="M329" s="94"/>
      <c r="N329" s="94"/>
      <c r="O329" s="94"/>
      <c r="P329" s="220">
        <v>0</v>
      </c>
      <c r="Q329" s="94"/>
      <c r="R329" s="215"/>
      <c r="S329" s="94"/>
      <c r="T329" s="211"/>
    </row>
    <row r="330" spans="1:20" s="2" customFormat="1" ht="43.5" customHeight="1" x14ac:dyDescent="0.25">
      <c r="A330" s="18"/>
      <c r="B330" s="122"/>
      <c r="C330" s="132" t="s">
        <v>42</v>
      </c>
      <c r="D330" s="100" t="s">
        <v>140</v>
      </c>
      <c r="E330" s="89">
        <f>SUM(E328:E329)</f>
        <v>15300.73</v>
      </c>
      <c r="F330" s="89"/>
      <c r="G330" s="87">
        <f t="shared" ref="G330:H330" si="90">SUM(G328:G329)</f>
        <v>53256.697949999994</v>
      </c>
      <c r="H330" s="87">
        <f t="shared" si="90"/>
        <v>493868.91</v>
      </c>
      <c r="I330" s="87"/>
      <c r="J330" s="87"/>
      <c r="K330" s="87"/>
      <c r="L330" s="87"/>
      <c r="M330" s="87"/>
      <c r="N330" s="87"/>
      <c r="O330" s="87"/>
      <c r="P330" s="221" t="s">
        <v>138</v>
      </c>
      <c r="Q330" s="87"/>
      <c r="R330" s="210"/>
      <c r="S330" s="87"/>
      <c r="T330" s="211"/>
    </row>
    <row r="331" spans="1:20" s="2" customFormat="1" ht="29.25" customHeight="1" x14ac:dyDescent="0.25">
      <c r="A331" s="20"/>
      <c r="B331" s="129"/>
      <c r="C331" s="131" t="s">
        <v>42</v>
      </c>
      <c r="D331" s="99" t="s">
        <v>144</v>
      </c>
      <c r="E331" s="93">
        <v>395.64</v>
      </c>
      <c r="F331" s="94">
        <v>5.6</v>
      </c>
      <c r="G331" s="94">
        <v>2215.5839999999998</v>
      </c>
      <c r="H331" s="94">
        <v>27299.16</v>
      </c>
      <c r="I331" s="94"/>
      <c r="J331" s="94"/>
      <c r="K331" s="94"/>
      <c r="L331" s="94"/>
      <c r="M331" s="94"/>
      <c r="N331" s="94"/>
      <c r="O331" s="94"/>
      <c r="P331" s="220" t="s">
        <v>148</v>
      </c>
      <c r="Q331" s="94"/>
      <c r="R331" s="215"/>
      <c r="S331" s="94"/>
      <c r="T331" s="211"/>
    </row>
    <row r="332" spans="1:20" s="2" customFormat="1" ht="43.5" customHeight="1" x14ac:dyDescent="0.25">
      <c r="A332" s="18"/>
      <c r="B332" s="122"/>
      <c r="C332" s="132" t="s">
        <v>42</v>
      </c>
      <c r="D332" s="100" t="s">
        <v>145</v>
      </c>
      <c r="E332" s="89">
        <f>SUM(E330:E331)</f>
        <v>15696.369999999999</v>
      </c>
      <c r="F332" s="89"/>
      <c r="G332" s="87">
        <f t="shared" ref="G332:H332" si="91">SUM(G330:G331)</f>
        <v>55472.281949999997</v>
      </c>
      <c r="H332" s="87">
        <f t="shared" si="91"/>
        <v>521168.06999999995</v>
      </c>
      <c r="I332" s="87"/>
      <c r="J332" s="87"/>
      <c r="K332" s="87"/>
      <c r="L332" s="87"/>
      <c r="M332" s="87"/>
      <c r="N332" s="87"/>
      <c r="O332" s="87"/>
      <c r="P332" s="221" t="s">
        <v>149</v>
      </c>
      <c r="Q332" s="87"/>
      <c r="R332" s="210"/>
      <c r="S332" s="87"/>
      <c r="T332" s="211"/>
    </row>
    <row r="333" spans="1:20" s="2" customFormat="1" ht="66" customHeight="1" x14ac:dyDescent="0.25">
      <c r="A333" s="20"/>
      <c r="B333" s="129"/>
      <c r="C333" s="131" t="s">
        <v>42</v>
      </c>
      <c r="D333" s="99" t="s">
        <v>165</v>
      </c>
      <c r="E333" s="93">
        <v>346.86</v>
      </c>
      <c r="F333" s="94">
        <v>5.6</v>
      </c>
      <c r="G333" s="94">
        <f>E333*F333</f>
        <v>1942.4159999999999</v>
      </c>
      <c r="H333" s="94">
        <f>E333*82</f>
        <v>28442.52</v>
      </c>
      <c r="I333" s="94"/>
      <c r="J333" s="94"/>
      <c r="K333" s="94"/>
      <c r="L333" s="94"/>
      <c r="M333" s="94"/>
      <c r="N333" s="94"/>
      <c r="O333" s="94"/>
      <c r="P333" s="220" t="s">
        <v>176</v>
      </c>
      <c r="Q333" s="94"/>
      <c r="R333" s="215"/>
      <c r="S333" s="94"/>
      <c r="T333" s="211"/>
    </row>
    <row r="334" spans="1:20" s="2" customFormat="1" ht="43.5" customHeight="1" x14ac:dyDescent="0.25">
      <c r="A334" s="18"/>
      <c r="B334" s="122"/>
      <c r="C334" s="132" t="s">
        <v>42</v>
      </c>
      <c r="D334" s="100" t="s">
        <v>167</v>
      </c>
      <c r="E334" s="89">
        <f>SUM(E332:E333)</f>
        <v>16043.23</v>
      </c>
      <c r="F334" s="89"/>
      <c r="G334" s="87">
        <f t="shared" ref="G334:H334" si="92">SUM(G332:G333)</f>
        <v>57414.697949999994</v>
      </c>
      <c r="H334" s="87">
        <f t="shared" si="92"/>
        <v>549610.59</v>
      </c>
      <c r="I334" s="87"/>
      <c r="J334" s="87"/>
      <c r="K334" s="87"/>
      <c r="L334" s="87"/>
      <c r="M334" s="87"/>
      <c r="N334" s="87"/>
      <c r="O334" s="87"/>
      <c r="P334" s="221" t="s">
        <v>177</v>
      </c>
      <c r="Q334" s="87"/>
      <c r="R334" s="210"/>
      <c r="S334" s="87"/>
      <c r="T334" s="211"/>
    </row>
    <row r="335" spans="1:20" s="2" customFormat="1" ht="27.75" customHeight="1" x14ac:dyDescent="0.25">
      <c r="A335" s="20"/>
      <c r="B335" s="129"/>
      <c r="C335" s="131" t="s">
        <v>42</v>
      </c>
      <c r="D335" s="99" t="s">
        <v>166</v>
      </c>
      <c r="E335" s="93">
        <v>430.8</v>
      </c>
      <c r="F335" s="94">
        <v>5.6</v>
      </c>
      <c r="G335" s="94">
        <f>144.08*5.6</f>
        <v>806.84800000000007</v>
      </c>
      <c r="H335" s="94">
        <f>144.08*82</f>
        <v>11814.560000000001</v>
      </c>
      <c r="I335" s="94">
        <f>286.72*5.6</f>
        <v>1605.6320000000001</v>
      </c>
      <c r="J335" s="94">
        <f>286.72*82</f>
        <v>23511.040000000001</v>
      </c>
      <c r="K335" s="94"/>
      <c r="L335" s="94"/>
      <c r="M335" s="94"/>
      <c r="N335" s="94"/>
      <c r="O335" s="94"/>
      <c r="P335" s="220">
        <v>0</v>
      </c>
      <c r="Q335" s="94"/>
      <c r="R335" s="215"/>
      <c r="S335" s="94"/>
      <c r="T335" s="211"/>
    </row>
    <row r="336" spans="1:20" s="2" customFormat="1" ht="43.5" customHeight="1" x14ac:dyDescent="0.25">
      <c r="A336" s="18"/>
      <c r="B336" s="122"/>
      <c r="C336" s="132" t="s">
        <v>42</v>
      </c>
      <c r="D336" s="100" t="s">
        <v>168</v>
      </c>
      <c r="E336" s="89">
        <f>SUM(E334:E335)</f>
        <v>16474.03</v>
      </c>
      <c r="F336" s="89"/>
      <c r="G336" s="87">
        <f t="shared" ref="G336:J336" si="93">SUM(G334:G335)</f>
        <v>58221.545949999992</v>
      </c>
      <c r="H336" s="87">
        <f t="shared" si="93"/>
        <v>561425.15</v>
      </c>
      <c r="I336" s="87">
        <f t="shared" si="93"/>
        <v>1605.6320000000001</v>
      </c>
      <c r="J336" s="87">
        <f t="shared" si="93"/>
        <v>23511.040000000001</v>
      </c>
      <c r="K336" s="87"/>
      <c r="L336" s="87"/>
      <c r="M336" s="87"/>
      <c r="N336" s="87"/>
      <c r="O336" s="87"/>
      <c r="P336" s="221" t="s">
        <v>177</v>
      </c>
      <c r="Q336" s="87"/>
      <c r="R336" s="210"/>
      <c r="S336" s="87"/>
      <c r="T336" s="211"/>
    </row>
    <row r="337" spans="1:20" s="236" customFormat="1" ht="43.5" customHeight="1" x14ac:dyDescent="0.25">
      <c r="A337" s="230"/>
      <c r="B337" s="237"/>
      <c r="C337" s="131" t="s">
        <v>42</v>
      </c>
      <c r="D337" s="99" t="s">
        <v>195</v>
      </c>
      <c r="E337" s="231">
        <v>463.52</v>
      </c>
      <c r="F337" s="94">
        <v>5.6</v>
      </c>
      <c r="G337" s="94">
        <f>286.72*5.6</f>
        <v>1605.6320000000001</v>
      </c>
      <c r="H337" s="94">
        <f>286.72*82</f>
        <v>23511.040000000001</v>
      </c>
      <c r="I337" s="232">
        <f>E337*5.6</f>
        <v>2595.7119999999995</v>
      </c>
      <c r="J337" s="232">
        <f>E337*82</f>
        <v>38008.639999999999</v>
      </c>
      <c r="K337" s="232"/>
      <c r="L337" s="232"/>
      <c r="M337" s="232"/>
      <c r="N337" s="232"/>
      <c r="O337" s="232"/>
      <c r="P337" s="220">
        <v>0</v>
      </c>
      <c r="Q337" s="232"/>
      <c r="R337" s="245"/>
      <c r="S337" s="232"/>
      <c r="T337" s="246"/>
    </row>
    <row r="338" spans="1:20" s="2" customFormat="1" ht="43.5" customHeight="1" x14ac:dyDescent="0.25">
      <c r="A338" s="18"/>
      <c r="B338" s="122"/>
      <c r="C338" s="132" t="s">
        <v>42</v>
      </c>
      <c r="D338" s="100" t="s">
        <v>196</v>
      </c>
      <c r="E338" s="89">
        <f>SUM(E336:E337)</f>
        <v>16937.55</v>
      </c>
      <c r="F338" s="89"/>
      <c r="G338" s="87">
        <f>SUM(G336:G337)</f>
        <v>59827.17794999999</v>
      </c>
      <c r="H338" s="87">
        <f>SUM(H336:H337)</f>
        <v>584936.19000000006</v>
      </c>
      <c r="I338" s="87">
        <v>2595.71</v>
      </c>
      <c r="J338" s="87">
        <v>38008.639999999999</v>
      </c>
      <c r="K338" s="87"/>
      <c r="L338" s="87"/>
      <c r="M338" s="87"/>
      <c r="N338" s="87"/>
      <c r="O338" s="87"/>
      <c r="P338" s="221" t="s">
        <v>177</v>
      </c>
      <c r="Q338" s="87"/>
      <c r="R338" s="210"/>
      <c r="S338" s="87"/>
      <c r="T338" s="211"/>
    </row>
    <row r="339" spans="1:20" s="236" customFormat="1" ht="43.5" customHeight="1" x14ac:dyDescent="0.25">
      <c r="A339" s="230"/>
      <c r="B339" s="237"/>
      <c r="C339" s="131" t="s">
        <v>42</v>
      </c>
      <c r="D339" s="99" t="s">
        <v>201</v>
      </c>
      <c r="E339" s="231">
        <v>398.78</v>
      </c>
      <c r="F339" s="94">
        <v>5.6</v>
      </c>
      <c r="G339" s="232">
        <f>612.08*5.6</f>
        <v>3427.6480000000001</v>
      </c>
      <c r="H339" s="232">
        <f>612.08*82</f>
        <v>50190.560000000005</v>
      </c>
      <c r="I339" s="232">
        <f>250.22*5.6</f>
        <v>1401.232</v>
      </c>
      <c r="J339" s="232">
        <f>250.22*82</f>
        <v>20518.04</v>
      </c>
      <c r="K339" s="232"/>
      <c r="L339" s="232"/>
      <c r="M339" s="232"/>
      <c r="N339" s="232"/>
      <c r="O339" s="232"/>
      <c r="P339" s="233" t="s">
        <v>203</v>
      </c>
      <c r="Q339" s="232"/>
      <c r="R339" s="245"/>
      <c r="S339" s="232"/>
      <c r="T339" s="246"/>
    </row>
    <row r="340" spans="1:20" s="2" customFormat="1" ht="43.5" customHeight="1" x14ac:dyDescent="0.25">
      <c r="A340" s="18"/>
      <c r="B340" s="122"/>
      <c r="C340" s="132" t="s">
        <v>42</v>
      </c>
      <c r="D340" s="100" t="s">
        <v>202</v>
      </c>
      <c r="E340" s="89">
        <f>SUM(E338:E339)</f>
        <v>17336.329999999998</v>
      </c>
      <c r="F340" s="89"/>
      <c r="G340" s="87">
        <f>SUM(G338:G339)</f>
        <v>63254.825949999991</v>
      </c>
      <c r="H340" s="87">
        <f>SUM(H338:H339)</f>
        <v>635126.75000000012</v>
      </c>
      <c r="I340" s="87">
        <v>1401.23</v>
      </c>
      <c r="J340" s="87">
        <v>20518.04</v>
      </c>
      <c r="K340" s="87"/>
      <c r="L340" s="87"/>
      <c r="M340" s="87"/>
      <c r="N340" s="87"/>
      <c r="O340" s="87"/>
      <c r="P340" s="221" t="s">
        <v>204</v>
      </c>
      <c r="Q340" s="87"/>
      <c r="R340" s="210"/>
      <c r="S340" s="87"/>
      <c r="T340" s="211"/>
    </row>
    <row r="341" spans="1:20" s="236" customFormat="1" ht="43.5" customHeight="1" x14ac:dyDescent="0.25">
      <c r="A341" s="230"/>
      <c r="B341" s="237"/>
      <c r="C341" s="131" t="s">
        <v>42</v>
      </c>
      <c r="D341" s="99" t="s">
        <v>208</v>
      </c>
      <c r="E341" s="231">
        <v>310.33999999999997</v>
      </c>
      <c r="F341" s="231" t="s">
        <v>210</v>
      </c>
      <c r="G341" s="232"/>
      <c r="H341" s="232"/>
      <c r="I341" s="232">
        <f>310.34*5.6</f>
        <v>1737.9039999999998</v>
      </c>
      <c r="J341" s="232">
        <f>310.34*95</f>
        <v>29482.3</v>
      </c>
      <c r="K341" s="232"/>
      <c r="L341" s="232"/>
      <c r="M341" s="232"/>
      <c r="N341" s="232"/>
      <c r="O341" s="232"/>
      <c r="P341" s="233"/>
      <c r="Q341" s="232"/>
      <c r="R341" s="245"/>
      <c r="S341" s="232"/>
      <c r="T341" s="246"/>
    </row>
    <row r="342" spans="1:20" s="2" customFormat="1" ht="43.5" customHeight="1" x14ac:dyDescent="0.25">
      <c r="A342" s="18"/>
      <c r="B342" s="122"/>
      <c r="C342" s="132" t="s">
        <v>42</v>
      </c>
      <c r="D342" s="100" t="s">
        <v>209</v>
      </c>
      <c r="E342" s="89">
        <f>SUM(E340:E341)</f>
        <v>17646.669999999998</v>
      </c>
      <c r="F342" s="89"/>
      <c r="G342" s="87">
        <f>SUM(G340:G341)</f>
        <v>63254.825949999991</v>
      </c>
      <c r="H342" s="87">
        <f>SUM(H340:H341)</f>
        <v>635126.75000000012</v>
      </c>
      <c r="I342" s="87">
        <f>SUM(I340:I341)</f>
        <v>3139.134</v>
      </c>
      <c r="J342" s="87">
        <f>SUM(J340:J341)</f>
        <v>50000.34</v>
      </c>
      <c r="K342" s="87"/>
      <c r="L342" s="87"/>
      <c r="M342" s="87"/>
      <c r="N342" s="87"/>
      <c r="O342" s="87"/>
      <c r="P342" s="221" t="s">
        <v>211</v>
      </c>
      <c r="Q342" s="87"/>
      <c r="R342" s="210"/>
      <c r="S342" s="87"/>
      <c r="T342" s="211"/>
    </row>
    <row r="343" spans="1:20" s="236" customFormat="1" ht="43.5" customHeight="1" x14ac:dyDescent="0.25">
      <c r="A343" s="230"/>
      <c r="B343" s="237"/>
      <c r="C343" s="131" t="s">
        <v>42</v>
      </c>
      <c r="D343" s="99" t="s">
        <v>215</v>
      </c>
      <c r="E343" s="231">
        <v>432.88</v>
      </c>
      <c r="F343" s="231" t="s">
        <v>210</v>
      </c>
      <c r="G343" s="232">
        <f>447.06*5.6</f>
        <v>2503.5360000000001</v>
      </c>
      <c r="H343" s="232">
        <f>20518.04+196.84*95</f>
        <v>39217.839999999997</v>
      </c>
      <c r="I343" s="232">
        <f>546.38*5.6</f>
        <v>3059.7279999999996</v>
      </c>
      <c r="J343" s="232">
        <f>546.38*95</f>
        <v>51906.1</v>
      </c>
      <c r="K343" s="232"/>
      <c r="L343" s="232"/>
      <c r="M343" s="232"/>
      <c r="N343" s="232"/>
      <c r="O343" s="232"/>
      <c r="P343" s="233"/>
      <c r="Q343" s="232"/>
      <c r="R343" s="245"/>
      <c r="S343" s="232"/>
      <c r="T343" s="246"/>
    </row>
    <row r="344" spans="1:20" s="2" customFormat="1" ht="43.5" customHeight="1" x14ac:dyDescent="0.25">
      <c r="A344" s="18"/>
      <c r="B344" s="122"/>
      <c r="C344" s="132" t="s">
        <v>42</v>
      </c>
      <c r="D344" s="100" t="s">
        <v>216</v>
      </c>
      <c r="E344" s="89">
        <f>SUM(E342:E343)</f>
        <v>18079.55</v>
      </c>
      <c r="F344" s="89"/>
      <c r="G344" s="87">
        <f>SUM(G342:G343)</f>
        <v>65758.361949999991</v>
      </c>
      <c r="H344" s="87">
        <f>SUM(H342:H343)</f>
        <v>674344.59000000008</v>
      </c>
      <c r="I344" s="87">
        <f>546.38*5.6</f>
        <v>3059.7279999999996</v>
      </c>
      <c r="J344" s="87">
        <f>546.38*95</f>
        <v>51906.1</v>
      </c>
      <c r="K344" s="87"/>
      <c r="L344" s="87"/>
      <c r="M344" s="87"/>
      <c r="N344" s="87"/>
      <c r="O344" s="87"/>
      <c r="P344" s="221" t="s">
        <v>211</v>
      </c>
      <c r="Q344" s="87"/>
      <c r="R344" s="210"/>
      <c r="S344" s="87"/>
      <c r="T344" s="211"/>
    </row>
    <row r="345" spans="1:20" s="2" customFormat="1" ht="43.5" customHeight="1" x14ac:dyDescent="0.25">
      <c r="A345" s="20"/>
      <c r="B345" s="129"/>
      <c r="C345" s="131" t="s">
        <v>42</v>
      </c>
      <c r="D345" s="99" t="s">
        <v>218</v>
      </c>
      <c r="E345" s="93">
        <v>432.14</v>
      </c>
      <c r="F345" s="231" t="s">
        <v>210</v>
      </c>
      <c r="G345" s="94"/>
      <c r="H345" s="94"/>
      <c r="I345" s="94">
        <f>432.14*5.6</f>
        <v>2419.9839999999999</v>
      </c>
      <c r="J345" s="94">
        <f>432.14*95</f>
        <v>41053.299999999996</v>
      </c>
      <c r="K345" s="94"/>
      <c r="L345" s="94"/>
      <c r="M345" s="94"/>
      <c r="N345" s="94"/>
      <c r="O345" s="94"/>
      <c r="P345" s="220"/>
      <c r="Q345" s="94"/>
      <c r="R345" s="215"/>
      <c r="S345" s="94"/>
      <c r="T345" s="211"/>
    </row>
    <row r="346" spans="1:20" s="2" customFormat="1" ht="43.5" customHeight="1" x14ac:dyDescent="0.25">
      <c r="A346" s="20"/>
      <c r="B346" s="129"/>
      <c r="C346" s="131"/>
      <c r="D346" s="99" t="s">
        <v>220</v>
      </c>
      <c r="E346" s="93">
        <v>14.42</v>
      </c>
      <c r="F346" s="93"/>
      <c r="G346" s="94"/>
      <c r="H346" s="94"/>
      <c r="I346" s="94"/>
      <c r="J346" s="94"/>
      <c r="K346" s="94"/>
      <c r="L346" s="94"/>
      <c r="M346" s="94"/>
      <c r="N346" s="94"/>
      <c r="O346" s="94"/>
      <c r="P346" s="220"/>
      <c r="Q346" s="94"/>
      <c r="R346" s="215"/>
      <c r="S346" s="94"/>
      <c r="T346" s="211"/>
    </row>
    <row r="347" spans="1:20" s="2" customFormat="1" ht="43.5" customHeight="1" x14ac:dyDescent="0.25">
      <c r="A347" s="18"/>
      <c r="B347" s="122"/>
      <c r="C347" s="132" t="s">
        <v>42</v>
      </c>
      <c r="D347" s="100" t="s">
        <v>219</v>
      </c>
      <c r="E347" s="89">
        <f>SUM(E344:E345:E346)</f>
        <v>18526.109999999997</v>
      </c>
      <c r="F347" s="89"/>
      <c r="G347" s="87">
        <v>65758.36</v>
      </c>
      <c r="H347" s="87">
        <v>674344.59</v>
      </c>
      <c r="I347" s="87">
        <f>SUM(I344:I345)</f>
        <v>5479.7119999999995</v>
      </c>
      <c r="J347" s="87">
        <f>SUM(J344:J345)</f>
        <v>92959.4</v>
      </c>
      <c r="K347" s="87"/>
      <c r="L347" s="87"/>
      <c r="M347" s="87"/>
      <c r="N347" s="87"/>
      <c r="O347" s="87"/>
      <c r="P347" s="221" t="s">
        <v>211</v>
      </c>
      <c r="Q347" s="87"/>
      <c r="R347" s="210"/>
      <c r="S347" s="87"/>
      <c r="T347" s="211"/>
    </row>
    <row r="348" spans="1:20" s="236" customFormat="1" ht="43.5" customHeight="1" x14ac:dyDescent="0.25">
      <c r="A348" s="230"/>
      <c r="B348" s="237"/>
      <c r="C348" s="131" t="s">
        <v>42</v>
      </c>
      <c r="D348" s="99" t="s">
        <v>227</v>
      </c>
      <c r="E348" s="231">
        <v>376.08</v>
      </c>
      <c r="F348" s="231" t="s">
        <v>210</v>
      </c>
      <c r="G348" s="232">
        <f>5479.71+265.24*5.6</f>
        <v>6965.0540000000001</v>
      </c>
      <c r="H348" s="232">
        <f>92959.4+265.24*95</f>
        <v>118157.2</v>
      </c>
      <c r="I348" s="232">
        <f>110.84*5.6</f>
        <v>620.70399999999995</v>
      </c>
      <c r="J348" s="232">
        <f>110.84*95</f>
        <v>10529.800000000001</v>
      </c>
      <c r="K348" s="232"/>
      <c r="L348" s="232"/>
      <c r="M348" s="232"/>
      <c r="N348" s="232"/>
      <c r="O348" s="232"/>
      <c r="P348" s="233" t="s">
        <v>232</v>
      </c>
      <c r="Q348" s="232"/>
      <c r="R348" s="245"/>
      <c r="S348" s="232"/>
      <c r="T348" s="246"/>
    </row>
    <row r="349" spans="1:20" s="2" customFormat="1" ht="43.5" customHeight="1" x14ac:dyDescent="0.25">
      <c r="A349" s="18"/>
      <c r="B349" s="122"/>
      <c r="C349" s="132" t="s">
        <v>42</v>
      </c>
      <c r="D349" s="100" t="s">
        <v>228</v>
      </c>
      <c r="E349" s="89">
        <f>SUM(E347:E348)</f>
        <v>18902.189999999999</v>
      </c>
      <c r="F349" s="89"/>
      <c r="G349" s="87">
        <f>SUM(G347:G348)</f>
        <v>72723.414000000004</v>
      </c>
      <c r="H349" s="87">
        <f>SUM(H347:H348)</f>
        <v>792501.78999999992</v>
      </c>
      <c r="I349" s="87">
        <v>620.70000000000005</v>
      </c>
      <c r="J349" s="87">
        <v>10529.8</v>
      </c>
      <c r="K349" s="87"/>
      <c r="L349" s="87"/>
      <c r="M349" s="87"/>
      <c r="N349" s="87"/>
      <c r="O349" s="87"/>
      <c r="P349" s="221" t="s">
        <v>237</v>
      </c>
      <c r="Q349" s="87"/>
      <c r="R349" s="210"/>
      <c r="S349" s="87"/>
      <c r="T349" s="211"/>
    </row>
    <row r="350" spans="1:20" s="2" customFormat="1" ht="43.5" customHeight="1" x14ac:dyDescent="0.25">
      <c r="A350" s="18"/>
      <c r="B350" s="122"/>
      <c r="C350" s="132" t="s">
        <v>42</v>
      </c>
      <c r="D350" s="100" t="s">
        <v>247</v>
      </c>
      <c r="E350" s="89">
        <v>22147.439999999999</v>
      </c>
      <c r="F350" s="89"/>
      <c r="G350" s="87">
        <v>92029.06</v>
      </c>
      <c r="H350" s="87">
        <v>1054114.18</v>
      </c>
      <c r="I350" s="87">
        <v>96677.25</v>
      </c>
      <c r="J350" s="87">
        <v>1111327.55</v>
      </c>
      <c r="K350" s="87"/>
      <c r="L350" s="87"/>
      <c r="M350" s="87"/>
      <c r="N350" s="87"/>
      <c r="O350" s="87"/>
      <c r="P350" s="221" t="s">
        <v>251</v>
      </c>
      <c r="Q350" s="87"/>
      <c r="R350" s="210"/>
      <c r="S350" s="87"/>
      <c r="T350" s="211"/>
    </row>
    <row r="351" spans="1:20" x14ac:dyDescent="0.25">
      <c r="A351" s="23"/>
      <c r="B351" s="23"/>
      <c r="C351" s="23"/>
      <c r="D351" s="36"/>
      <c r="E351" s="53"/>
      <c r="F351" s="35"/>
      <c r="G351" s="35"/>
      <c r="H351" s="35"/>
      <c r="I351" s="36"/>
      <c r="J351" s="36"/>
      <c r="K351" s="36"/>
      <c r="L351" s="36"/>
      <c r="M351" s="36"/>
      <c r="N351" s="36"/>
      <c r="O351" s="36"/>
      <c r="P351" s="36"/>
      <c r="Q351" s="36"/>
      <c r="R351" s="72"/>
      <c r="S351" s="55"/>
    </row>
    <row r="352" spans="1:20" ht="30" customHeight="1" x14ac:dyDescent="0.25">
      <c r="A352" s="20"/>
      <c r="B352" s="115" t="s">
        <v>40</v>
      </c>
      <c r="C352" s="131" t="s">
        <v>44</v>
      </c>
      <c r="D352" s="163">
        <v>2011</v>
      </c>
      <c r="E352" s="166">
        <v>6963.16</v>
      </c>
      <c r="F352" s="142">
        <v>3.18</v>
      </c>
      <c r="G352" s="94">
        <f>E352*F352</f>
        <v>22142.8488</v>
      </c>
      <c r="H352" s="94">
        <v>20889.45</v>
      </c>
      <c r="I352" s="94"/>
      <c r="J352" s="94"/>
      <c r="K352" s="94"/>
      <c r="L352" s="129"/>
      <c r="M352" s="129"/>
      <c r="N352" s="129"/>
      <c r="O352" s="129"/>
      <c r="P352" s="94">
        <v>0</v>
      </c>
      <c r="Q352" s="73"/>
      <c r="R352" s="74"/>
      <c r="S352" s="51"/>
    </row>
    <row r="353" spans="1:19" ht="25.5" x14ac:dyDescent="0.25">
      <c r="A353" s="16"/>
      <c r="B353" s="119"/>
      <c r="C353" s="136" t="s">
        <v>44</v>
      </c>
      <c r="D353" s="160">
        <v>2012</v>
      </c>
      <c r="E353" s="161">
        <v>6704.98</v>
      </c>
      <c r="F353" s="141">
        <v>3.18</v>
      </c>
      <c r="G353" s="94">
        <f>E353*F353</f>
        <v>21321.8364</v>
      </c>
      <c r="H353" s="94">
        <v>60344.82</v>
      </c>
      <c r="I353" s="84"/>
      <c r="J353" s="84"/>
      <c r="K353" s="94"/>
      <c r="L353" s="119"/>
      <c r="M353" s="119"/>
      <c r="N353" s="119"/>
      <c r="O353" s="119"/>
      <c r="P353" s="94">
        <v>0</v>
      </c>
      <c r="Q353" s="38"/>
      <c r="R353" s="75"/>
      <c r="S353" s="51"/>
    </row>
    <row r="354" spans="1:19" ht="39.75" customHeight="1" x14ac:dyDescent="0.25">
      <c r="A354" s="18"/>
      <c r="B354" s="122"/>
      <c r="C354" s="132" t="s">
        <v>44</v>
      </c>
      <c r="D354" s="96" t="s">
        <v>25</v>
      </c>
      <c r="E354" s="89">
        <f>SUM(E352:E353)</f>
        <v>13668.14</v>
      </c>
      <c r="F354" s="89"/>
      <c r="G354" s="87">
        <f t="shared" ref="G354:H354" si="94">SUM(G352:G353)</f>
        <v>43464.6852</v>
      </c>
      <c r="H354" s="87">
        <f t="shared" si="94"/>
        <v>81234.27</v>
      </c>
      <c r="I354" s="87"/>
      <c r="J354" s="87"/>
      <c r="K354" s="87"/>
      <c r="L354" s="122"/>
      <c r="M354" s="122"/>
      <c r="N354" s="122"/>
      <c r="O354" s="122"/>
      <c r="P354" s="87">
        <v>0</v>
      </c>
      <c r="Q354" s="76"/>
      <c r="R354" s="77"/>
      <c r="S354" s="50"/>
    </row>
    <row r="355" spans="1:19" ht="25.5" x14ac:dyDescent="0.25">
      <c r="A355" s="16"/>
      <c r="B355" s="119"/>
      <c r="C355" s="136" t="s">
        <v>44</v>
      </c>
      <c r="D355" s="120">
        <v>2013</v>
      </c>
      <c r="E355" s="161">
        <v>6874.55</v>
      </c>
      <c r="F355" s="141">
        <v>3.18</v>
      </c>
      <c r="G355" s="94">
        <f>E355*F355</f>
        <v>21861.069000000003</v>
      </c>
      <c r="H355" s="94">
        <v>103118.25</v>
      </c>
      <c r="I355" s="84"/>
      <c r="J355" s="84"/>
      <c r="K355" s="94"/>
      <c r="L355" s="119"/>
      <c r="M355" s="119"/>
      <c r="N355" s="119"/>
      <c r="O355" s="119"/>
      <c r="P355" s="94">
        <v>0</v>
      </c>
      <c r="Q355" s="38"/>
      <c r="R355" s="75"/>
      <c r="S355" s="51"/>
    </row>
    <row r="356" spans="1:19" ht="41.25" customHeight="1" x14ac:dyDescent="0.25">
      <c r="A356" s="18"/>
      <c r="B356" s="122"/>
      <c r="C356" s="132" t="s">
        <v>44</v>
      </c>
      <c r="D356" s="96" t="s">
        <v>38</v>
      </c>
      <c r="E356" s="89">
        <f>SUM(E354:E355)</f>
        <v>20542.689999999999</v>
      </c>
      <c r="F356" s="89"/>
      <c r="G356" s="87">
        <f t="shared" ref="G356:H356" si="95">SUM(G354:G355)</f>
        <v>65325.754200000003</v>
      </c>
      <c r="H356" s="87">
        <f t="shared" si="95"/>
        <v>184352.52000000002</v>
      </c>
      <c r="I356" s="87"/>
      <c r="J356" s="87"/>
      <c r="K356" s="87"/>
      <c r="L356" s="122"/>
      <c r="M356" s="122"/>
      <c r="N356" s="122"/>
      <c r="O356" s="122"/>
      <c r="P356" s="87">
        <v>0</v>
      </c>
      <c r="Q356" s="76"/>
      <c r="R356" s="77"/>
      <c r="S356" s="50"/>
    </row>
    <row r="357" spans="1:19" ht="25.5" x14ac:dyDescent="0.25">
      <c r="A357" s="16"/>
      <c r="B357" s="119"/>
      <c r="C357" s="136" t="s">
        <v>44</v>
      </c>
      <c r="D357" s="120">
        <v>2014</v>
      </c>
      <c r="E357" s="161">
        <v>6796.69</v>
      </c>
      <c r="F357" s="141">
        <v>3.18</v>
      </c>
      <c r="G357" s="94">
        <f>E357*F357</f>
        <v>21613.474200000001</v>
      </c>
      <c r="H357" s="94">
        <v>149527.18</v>
      </c>
      <c r="I357" s="84"/>
      <c r="J357" s="84"/>
      <c r="K357" s="94"/>
      <c r="L357" s="119"/>
      <c r="M357" s="119"/>
      <c r="N357" s="119"/>
      <c r="O357" s="119"/>
      <c r="P357" s="94">
        <v>0</v>
      </c>
      <c r="Q357" s="38"/>
      <c r="R357" s="75"/>
      <c r="S357" s="51"/>
    </row>
    <row r="358" spans="1:19" ht="39" customHeight="1" x14ac:dyDescent="0.25">
      <c r="A358" s="18"/>
      <c r="B358" s="122"/>
      <c r="C358" s="132" t="s">
        <v>44</v>
      </c>
      <c r="D358" s="96" t="s">
        <v>24</v>
      </c>
      <c r="E358" s="89">
        <f>SUM(E356:E357)</f>
        <v>27339.379999999997</v>
      </c>
      <c r="F358" s="89"/>
      <c r="G358" s="87">
        <f t="shared" ref="G358:H358" si="96">SUM(G356:G357)</f>
        <v>86939.228400000007</v>
      </c>
      <c r="H358" s="87">
        <f t="shared" si="96"/>
        <v>333879.7</v>
      </c>
      <c r="I358" s="87"/>
      <c r="J358" s="87"/>
      <c r="K358" s="87"/>
      <c r="L358" s="122"/>
      <c r="M358" s="122"/>
      <c r="N358" s="122"/>
      <c r="O358" s="122"/>
      <c r="P358" s="87">
        <v>0</v>
      </c>
      <c r="Q358" s="76"/>
      <c r="R358" s="77"/>
      <c r="S358" s="50"/>
    </row>
    <row r="359" spans="1:19" ht="25.5" x14ac:dyDescent="0.25">
      <c r="A359" s="16"/>
      <c r="B359" s="119"/>
      <c r="C359" s="136" t="s">
        <v>44</v>
      </c>
      <c r="D359" s="120">
        <v>2015</v>
      </c>
      <c r="E359" s="161">
        <v>7192.78</v>
      </c>
      <c r="F359" s="141">
        <v>3.37</v>
      </c>
      <c r="G359" s="94">
        <f>E359*F359</f>
        <v>24239.668600000001</v>
      </c>
      <c r="H359" s="94">
        <v>201397.84</v>
      </c>
      <c r="I359" s="84"/>
      <c r="J359" s="84"/>
      <c r="K359" s="94"/>
      <c r="L359" s="119"/>
      <c r="M359" s="119"/>
      <c r="N359" s="119"/>
      <c r="O359" s="119"/>
      <c r="P359" s="94">
        <v>0</v>
      </c>
      <c r="Q359" s="38"/>
      <c r="R359" s="75"/>
      <c r="S359" s="51"/>
    </row>
    <row r="360" spans="1:19" ht="39" customHeight="1" x14ac:dyDescent="0.25">
      <c r="A360" s="18"/>
      <c r="B360" s="122"/>
      <c r="C360" s="132" t="s">
        <v>44</v>
      </c>
      <c r="D360" s="96" t="s">
        <v>26</v>
      </c>
      <c r="E360" s="89">
        <f>SUM(E358:E359)</f>
        <v>34532.159999999996</v>
      </c>
      <c r="F360" s="89"/>
      <c r="G360" s="87">
        <f t="shared" ref="G360:H360" si="97">SUM(G358:G359)</f>
        <v>111178.89700000001</v>
      </c>
      <c r="H360" s="87">
        <f t="shared" si="97"/>
        <v>535277.54</v>
      </c>
      <c r="I360" s="87"/>
      <c r="J360" s="87"/>
      <c r="K360" s="87"/>
      <c r="L360" s="122"/>
      <c r="M360" s="122"/>
      <c r="N360" s="122"/>
      <c r="O360" s="122"/>
      <c r="P360" s="87">
        <v>0</v>
      </c>
      <c r="Q360" s="76"/>
      <c r="R360" s="77"/>
      <c r="S360" s="50"/>
    </row>
    <row r="361" spans="1:19" ht="25.5" x14ac:dyDescent="0.25">
      <c r="A361" s="16"/>
      <c r="B361" s="119"/>
      <c r="C361" s="136" t="s">
        <v>44</v>
      </c>
      <c r="D361" s="99" t="s">
        <v>29</v>
      </c>
      <c r="E361" s="137">
        <v>1533.39</v>
      </c>
      <c r="F361" s="141">
        <v>3.37</v>
      </c>
      <c r="G361" s="94">
        <f>E361*F361</f>
        <v>5167.5243000000009</v>
      </c>
      <c r="H361" s="94">
        <v>55202.04</v>
      </c>
      <c r="I361" s="84"/>
      <c r="J361" s="84"/>
      <c r="K361" s="94"/>
      <c r="L361" s="119"/>
      <c r="M361" s="119"/>
      <c r="N361" s="119"/>
      <c r="O361" s="119"/>
      <c r="P361" s="94">
        <v>0</v>
      </c>
      <c r="Q361" s="38"/>
      <c r="R361" s="75"/>
      <c r="S361" s="51"/>
    </row>
    <row r="362" spans="1:19" ht="38.25" x14ac:dyDescent="0.25">
      <c r="A362" s="18"/>
      <c r="B362" s="122"/>
      <c r="C362" s="132" t="s">
        <v>44</v>
      </c>
      <c r="D362" s="100" t="s">
        <v>30</v>
      </c>
      <c r="E362" s="89">
        <f>SUM(E360:E361)</f>
        <v>36065.549999999996</v>
      </c>
      <c r="F362" s="89"/>
      <c r="G362" s="87">
        <f t="shared" ref="G362:H362" si="98">SUM(G360:G361)</f>
        <v>116346.42130000002</v>
      </c>
      <c r="H362" s="87">
        <f t="shared" si="98"/>
        <v>590479.58000000007</v>
      </c>
      <c r="I362" s="87"/>
      <c r="J362" s="87"/>
      <c r="K362" s="87"/>
      <c r="L362" s="122"/>
      <c r="M362" s="122"/>
      <c r="N362" s="122"/>
      <c r="O362" s="122"/>
      <c r="P362" s="87">
        <v>0</v>
      </c>
      <c r="Q362" s="76"/>
      <c r="R362" s="77"/>
      <c r="S362" s="50"/>
    </row>
    <row r="363" spans="1:19" ht="25.5" x14ac:dyDescent="0.25">
      <c r="A363" s="16"/>
      <c r="B363" s="119"/>
      <c r="C363" s="136" t="s">
        <v>44</v>
      </c>
      <c r="D363" s="99" t="s">
        <v>31</v>
      </c>
      <c r="E363" s="137">
        <v>1830.24</v>
      </c>
      <c r="F363" s="141">
        <v>3.37</v>
      </c>
      <c r="G363" s="94">
        <f>E363*F363</f>
        <v>6167.9088000000002</v>
      </c>
      <c r="H363" s="94">
        <v>65888.639999999999</v>
      </c>
      <c r="I363" s="84"/>
      <c r="J363" s="84"/>
      <c r="K363" s="94"/>
      <c r="L363" s="119"/>
      <c r="M363" s="119"/>
      <c r="N363" s="119"/>
      <c r="O363" s="119"/>
      <c r="P363" s="94">
        <v>0</v>
      </c>
      <c r="Q363" s="38"/>
      <c r="R363" s="75"/>
      <c r="S363" s="51"/>
    </row>
    <row r="364" spans="1:19" ht="38.25" x14ac:dyDescent="0.25">
      <c r="A364" s="16"/>
      <c r="B364" s="119"/>
      <c r="C364" s="101" t="s">
        <v>46</v>
      </c>
      <c r="D364" s="99"/>
      <c r="E364" s="137">
        <v>24.66</v>
      </c>
      <c r="F364" s="84">
        <v>0</v>
      </c>
      <c r="G364" s="94">
        <v>0</v>
      </c>
      <c r="H364" s="94">
        <v>0</v>
      </c>
      <c r="I364" s="84"/>
      <c r="J364" s="84"/>
      <c r="K364" s="84"/>
      <c r="L364" s="119"/>
      <c r="M364" s="119"/>
      <c r="N364" s="119"/>
      <c r="O364" s="119"/>
      <c r="P364" s="94"/>
      <c r="Q364" s="38"/>
      <c r="R364" s="75"/>
      <c r="S364" s="51"/>
    </row>
    <row r="365" spans="1:19" ht="39.75" customHeight="1" x14ac:dyDescent="0.25">
      <c r="A365" s="18"/>
      <c r="B365" s="122"/>
      <c r="C365" s="132" t="s">
        <v>44</v>
      </c>
      <c r="D365" s="100" t="s">
        <v>32</v>
      </c>
      <c r="E365" s="89">
        <f>SUM(E362:E364)</f>
        <v>37920.449999999997</v>
      </c>
      <c r="F365" s="89"/>
      <c r="G365" s="87">
        <f t="shared" ref="G365:H365" si="99">SUM(G362:G364)</f>
        <v>122514.33010000002</v>
      </c>
      <c r="H365" s="87">
        <f t="shared" si="99"/>
        <v>656368.22000000009</v>
      </c>
      <c r="I365" s="87"/>
      <c r="J365" s="87"/>
      <c r="K365" s="87"/>
      <c r="L365" s="122"/>
      <c r="M365" s="122"/>
      <c r="N365" s="122"/>
      <c r="O365" s="122"/>
      <c r="P365" s="87">
        <v>0</v>
      </c>
      <c r="Q365" s="76"/>
      <c r="R365" s="77"/>
      <c r="S365" s="50"/>
    </row>
    <row r="366" spans="1:19" ht="25.5" x14ac:dyDescent="0.25">
      <c r="A366" s="16"/>
      <c r="B366" s="119"/>
      <c r="C366" s="136" t="s">
        <v>44</v>
      </c>
      <c r="D366" s="99" t="s">
        <v>33</v>
      </c>
      <c r="E366" s="137">
        <v>1854.61</v>
      </c>
      <c r="F366" s="141">
        <v>3.37</v>
      </c>
      <c r="G366" s="94">
        <f>E366*F366</f>
        <v>6250.0356999999995</v>
      </c>
      <c r="H366" s="94">
        <v>66765.960000000006</v>
      </c>
      <c r="I366" s="84"/>
      <c r="J366" s="84"/>
      <c r="K366" s="94"/>
      <c r="L366" s="164"/>
      <c r="M366" s="119"/>
      <c r="N366" s="119"/>
      <c r="O366" s="119"/>
      <c r="P366" s="94">
        <v>0</v>
      </c>
      <c r="Q366" s="38"/>
      <c r="R366" s="75"/>
      <c r="S366" s="51"/>
    </row>
    <row r="367" spans="1:19" ht="38.25" x14ac:dyDescent="0.25">
      <c r="A367" s="18"/>
      <c r="B367" s="122"/>
      <c r="C367" s="132" t="s">
        <v>44</v>
      </c>
      <c r="D367" s="100" t="s">
        <v>35</v>
      </c>
      <c r="E367" s="89">
        <f>SUM(E365:E366)</f>
        <v>39775.06</v>
      </c>
      <c r="F367" s="89"/>
      <c r="G367" s="87">
        <f t="shared" ref="G367:H367" si="100">SUM(G365:G366)</f>
        <v>128764.36580000001</v>
      </c>
      <c r="H367" s="87">
        <f t="shared" si="100"/>
        <v>723134.18</v>
      </c>
      <c r="I367" s="87"/>
      <c r="J367" s="87"/>
      <c r="K367" s="87"/>
      <c r="L367" s="122"/>
      <c r="M367" s="122"/>
      <c r="N367" s="122"/>
      <c r="O367" s="122"/>
      <c r="P367" s="87">
        <v>0</v>
      </c>
      <c r="Q367" s="76"/>
      <c r="R367" s="77"/>
      <c r="S367" s="50"/>
    </row>
    <row r="368" spans="1:19" ht="25.5" x14ac:dyDescent="0.25">
      <c r="A368" s="16"/>
      <c r="B368" s="119"/>
      <c r="C368" s="136" t="s">
        <v>44</v>
      </c>
      <c r="D368" s="99" t="s">
        <v>34</v>
      </c>
      <c r="E368" s="137">
        <v>1647.596</v>
      </c>
      <c r="F368" s="141">
        <v>3.37</v>
      </c>
      <c r="G368" s="94">
        <f>E368*F368</f>
        <v>5552.3985199999997</v>
      </c>
      <c r="H368" s="94">
        <v>59313.455999999998</v>
      </c>
      <c r="I368" s="84"/>
      <c r="J368" s="84"/>
      <c r="K368" s="94"/>
      <c r="L368" s="119"/>
      <c r="M368" s="119"/>
      <c r="N368" s="119"/>
      <c r="O368" s="119"/>
      <c r="P368" s="94">
        <v>0</v>
      </c>
      <c r="Q368" s="38"/>
      <c r="R368" s="75"/>
      <c r="S368" s="51"/>
    </row>
    <row r="369" spans="1:19" ht="38.25" x14ac:dyDescent="0.25">
      <c r="A369" s="18"/>
      <c r="B369" s="122"/>
      <c r="C369" s="132" t="s">
        <v>44</v>
      </c>
      <c r="D369" s="100" t="s">
        <v>36</v>
      </c>
      <c r="E369" s="89">
        <f>SUM(E367:E368)</f>
        <v>41422.655999999995</v>
      </c>
      <c r="F369" s="89"/>
      <c r="G369" s="87">
        <f t="shared" ref="G369:H369" si="101">SUM(G367:G368)</f>
        <v>134316.76432000002</v>
      </c>
      <c r="H369" s="87">
        <f t="shared" si="101"/>
        <v>782447.63600000006</v>
      </c>
      <c r="I369" s="87"/>
      <c r="J369" s="87"/>
      <c r="K369" s="87"/>
      <c r="L369" s="122"/>
      <c r="M369" s="122"/>
      <c r="N369" s="122"/>
      <c r="O369" s="122"/>
      <c r="P369" s="87">
        <v>0</v>
      </c>
      <c r="Q369" s="76"/>
      <c r="R369" s="77"/>
      <c r="S369" s="50"/>
    </row>
    <row r="370" spans="1:19" s="2" customFormat="1" ht="25.5" x14ac:dyDescent="0.25">
      <c r="A370" s="20"/>
      <c r="B370" s="129"/>
      <c r="C370" s="131" t="s">
        <v>44</v>
      </c>
      <c r="D370" s="99" t="s">
        <v>57</v>
      </c>
      <c r="E370" s="93">
        <v>1405.7</v>
      </c>
      <c r="F370" s="94">
        <v>3.37</v>
      </c>
      <c r="G370" s="94">
        <f>E370*F370</f>
        <v>4737.2090000000007</v>
      </c>
      <c r="H370" s="94">
        <v>56228</v>
      </c>
      <c r="I370" s="94"/>
      <c r="J370" s="94"/>
      <c r="K370" s="94"/>
      <c r="L370" s="129"/>
      <c r="M370" s="129"/>
      <c r="N370" s="129"/>
      <c r="O370" s="129"/>
      <c r="P370" s="94">
        <v>0</v>
      </c>
      <c r="Q370" s="73"/>
      <c r="R370" s="74"/>
      <c r="S370" s="47"/>
    </row>
    <row r="371" spans="1:19" s="2" customFormat="1" ht="38.25" x14ac:dyDescent="0.25">
      <c r="A371" s="18"/>
      <c r="B371" s="122"/>
      <c r="C371" s="132" t="s">
        <v>44</v>
      </c>
      <c r="D371" s="100" t="s">
        <v>58</v>
      </c>
      <c r="E371" s="89">
        <f>SUM(E369:E370)</f>
        <v>42828.355999999992</v>
      </c>
      <c r="F371" s="89"/>
      <c r="G371" s="87">
        <f t="shared" ref="G371:H371" si="102">SUM(G369:G370)</f>
        <v>139053.97332000002</v>
      </c>
      <c r="H371" s="87">
        <f t="shared" si="102"/>
        <v>838675.63600000006</v>
      </c>
      <c r="I371" s="87"/>
      <c r="J371" s="87"/>
      <c r="K371" s="87"/>
      <c r="L371" s="122"/>
      <c r="M371" s="122"/>
      <c r="N371" s="122"/>
      <c r="O371" s="122"/>
      <c r="P371" s="87">
        <v>0</v>
      </c>
      <c r="Q371" s="76"/>
      <c r="R371" s="77"/>
      <c r="S371" s="50"/>
    </row>
    <row r="372" spans="1:19" s="2" customFormat="1" ht="25.5" x14ac:dyDescent="0.25">
      <c r="A372" s="20"/>
      <c r="B372" s="129"/>
      <c r="C372" s="131" t="s">
        <v>44</v>
      </c>
      <c r="D372" s="99" t="s">
        <v>61</v>
      </c>
      <c r="E372" s="93">
        <v>1746.58</v>
      </c>
      <c r="F372" s="94">
        <v>3.37</v>
      </c>
      <c r="G372" s="94">
        <f>E372*F372</f>
        <v>5885.9745999999996</v>
      </c>
      <c r="H372" s="94">
        <v>69863.199999999997</v>
      </c>
      <c r="I372" s="94"/>
      <c r="J372" s="94"/>
      <c r="K372" s="94"/>
      <c r="L372" s="129"/>
      <c r="M372" s="129"/>
      <c r="N372" s="129"/>
      <c r="O372" s="129"/>
      <c r="P372" s="106">
        <v>151121.09</v>
      </c>
      <c r="Q372" s="73"/>
      <c r="R372" s="74"/>
      <c r="S372" s="47"/>
    </row>
    <row r="373" spans="1:19" s="2" customFormat="1" ht="42.75" customHeight="1" x14ac:dyDescent="0.25">
      <c r="A373" s="18"/>
      <c r="B373" s="122"/>
      <c r="C373" s="132" t="s">
        <v>44</v>
      </c>
      <c r="D373" s="100" t="s">
        <v>63</v>
      </c>
      <c r="E373" s="89">
        <f>SUM(E371:E372)</f>
        <v>44574.935999999994</v>
      </c>
      <c r="F373" s="89"/>
      <c r="G373" s="87">
        <f t="shared" ref="G373:H373" si="103">SUM(G371:G372)</f>
        <v>144939.94792000001</v>
      </c>
      <c r="H373" s="87">
        <f t="shared" si="103"/>
        <v>908538.83600000001</v>
      </c>
      <c r="I373" s="87"/>
      <c r="J373" s="87"/>
      <c r="K373" s="87"/>
      <c r="L373" s="122"/>
      <c r="M373" s="122"/>
      <c r="N373" s="122"/>
      <c r="O373" s="122"/>
      <c r="P373" s="105">
        <v>151121.09</v>
      </c>
      <c r="Q373" s="76"/>
      <c r="R373" s="77"/>
      <c r="S373" s="50"/>
    </row>
    <row r="374" spans="1:19" s="2" customFormat="1" ht="75" customHeight="1" x14ac:dyDescent="0.25">
      <c r="A374" s="20"/>
      <c r="B374" s="129"/>
      <c r="C374" s="131" t="s">
        <v>44</v>
      </c>
      <c r="D374" s="99" t="s">
        <v>64</v>
      </c>
      <c r="E374" s="93">
        <v>1916.34</v>
      </c>
      <c r="F374" s="94">
        <v>3.37</v>
      </c>
      <c r="G374" s="94">
        <f>E374*F374</f>
        <v>6458.0658000000003</v>
      </c>
      <c r="H374" s="94">
        <v>76653.600000000006</v>
      </c>
      <c r="I374" s="94"/>
      <c r="J374" s="94"/>
      <c r="K374" s="94"/>
      <c r="L374" s="129"/>
      <c r="M374" s="129"/>
      <c r="N374" s="129"/>
      <c r="O374" s="129"/>
      <c r="P374" s="187" t="s">
        <v>75</v>
      </c>
      <c r="Q374" s="73"/>
      <c r="R374" s="73"/>
      <c r="S374" s="180"/>
    </row>
    <row r="375" spans="1:19" s="2" customFormat="1" ht="39" customHeight="1" x14ac:dyDescent="0.25">
      <c r="A375" s="20"/>
      <c r="B375" s="129"/>
      <c r="C375" s="131" t="s">
        <v>46</v>
      </c>
      <c r="D375" s="104"/>
      <c r="E375" s="93">
        <v>28</v>
      </c>
      <c r="F375" s="94">
        <v>0</v>
      </c>
      <c r="G375" s="94">
        <v>0</v>
      </c>
      <c r="H375" s="94">
        <v>0</v>
      </c>
      <c r="I375" s="94"/>
      <c r="J375" s="94"/>
      <c r="K375" s="94"/>
      <c r="L375" s="129"/>
      <c r="M375" s="129"/>
      <c r="N375" s="129"/>
      <c r="O375" s="129"/>
      <c r="P375" s="106"/>
      <c r="Q375" s="73"/>
      <c r="R375" s="74"/>
      <c r="S375" s="47"/>
    </row>
    <row r="376" spans="1:19" s="2" customFormat="1" ht="39.75" customHeight="1" x14ac:dyDescent="0.25">
      <c r="A376" s="18"/>
      <c r="B376" s="122"/>
      <c r="C376" s="132" t="s">
        <v>44</v>
      </c>
      <c r="D376" s="100" t="s">
        <v>65</v>
      </c>
      <c r="E376" s="89">
        <f>SUM(E373:E375)</f>
        <v>46519.275999999991</v>
      </c>
      <c r="F376" s="89"/>
      <c r="G376" s="87">
        <f>SUM(G373:G375)</f>
        <v>151398.01372000002</v>
      </c>
      <c r="H376" s="87">
        <f>SUM(H373:H375)</f>
        <v>985192.43599999999</v>
      </c>
      <c r="I376" s="87"/>
      <c r="J376" s="87"/>
      <c r="K376" s="87"/>
      <c r="L376" s="122"/>
      <c r="M376" s="122"/>
      <c r="N376" s="122"/>
      <c r="O376" s="122"/>
      <c r="P376" s="105">
        <v>53321.09</v>
      </c>
      <c r="Q376" s="76"/>
      <c r="R376" s="77"/>
      <c r="S376" s="50"/>
    </row>
    <row r="377" spans="1:19" s="2" customFormat="1" ht="27" customHeight="1" x14ac:dyDescent="0.25">
      <c r="A377" s="20"/>
      <c r="B377" s="129"/>
      <c r="C377" s="131" t="s">
        <v>44</v>
      </c>
      <c r="D377" s="99" t="s">
        <v>70</v>
      </c>
      <c r="E377" s="93">
        <v>1541.72</v>
      </c>
      <c r="F377" s="94">
        <v>3.37</v>
      </c>
      <c r="G377" s="94">
        <v>5195.5964000000004</v>
      </c>
      <c r="H377" s="94">
        <v>61668.800000000003</v>
      </c>
      <c r="I377" s="94"/>
      <c r="J377" s="94"/>
      <c r="K377" s="94"/>
      <c r="L377" s="129"/>
      <c r="M377" s="129"/>
      <c r="N377" s="129"/>
      <c r="O377" s="129"/>
      <c r="P377" s="106">
        <v>0</v>
      </c>
      <c r="Q377" s="73"/>
      <c r="R377" s="74"/>
      <c r="S377" s="47"/>
    </row>
    <row r="378" spans="1:19" s="2" customFormat="1" ht="42" customHeight="1" x14ac:dyDescent="0.25">
      <c r="A378" s="18"/>
      <c r="B378" s="122"/>
      <c r="C378" s="132" t="s">
        <v>44</v>
      </c>
      <c r="D378" s="100" t="s">
        <v>69</v>
      </c>
      <c r="E378" s="89">
        <f>SUM(E376:E377)</f>
        <v>48060.995999999992</v>
      </c>
      <c r="F378" s="89"/>
      <c r="G378" s="87">
        <f t="shared" ref="G378:H378" si="104">SUM(G376:G377)</f>
        <v>156593.61012000003</v>
      </c>
      <c r="H378" s="87">
        <f t="shared" si="104"/>
        <v>1046861.236</v>
      </c>
      <c r="I378" s="87"/>
      <c r="J378" s="87"/>
      <c r="K378" s="87"/>
      <c r="L378" s="122"/>
      <c r="M378" s="122"/>
      <c r="N378" s="122"/>
      <c r="O378" s="122"/>
      <c r="P378" s="105">
        <v>53321.09</v>
      </c>
      <c r="Q378" s="76"/>
      <c r="R378" s="77"/>
      <c r="S378" s="50"/>
    </row>
    <row r="379" spans="1:19" s="2" customFormat="1" ht="28.5" customHeight="1" x14ac:dyDescent="0.25">
      <c r="A379" s="20"/>
      <c r="B379" s="129"/>
      <c r="C379" s="131" t="s">
        <v>44</v>
      </c>
      <c r="D379" s="99" t="s">
        <v>71</v>
      </c>
      <c r="E379" s="93">
        <v>1420.84</v>
      </c>
      <c r="F379" s="94">
        <v>3.45</v>
      </c>
      <c r="G379" s="94">
        <f>E379*F379</f>
        <v>4901.8980000000001</v>
      </c>
      <c r="H379" s="94">
        <f>E379*45</f>
        <v>63937.799999999996</v>
      </c>
      <c r="I379" s="94"/>
      <c r="J379" s="94"/>
      <c r="K379" s="94"/>
      <c r="L379" s="129"/>
      <c r="M379" s="129"/>
      <c r="N379" s="129"/>
      <c r="O379" s="129"/>
      <c r="P379" s="106">
        <v>0</v>
      </c>
      <c r="Q379" s="73"/>
      <c r="R379" s="74"/>
      <c r="S379" s="47"/>
    </row>
    <row r="380" spans="1:19" s="2" customFormat="1" ht="39.75" customHeight="1" x14ac:dyDescent="0.25">
      <c r="A380" s="18"/>
      <c r="B380" s="122"/>
      <c r="C380" s="132" t="s">
        <v>44</v>
      </c>
      <c r="D380" s="100" t="s">
        <v>72</v>
      </c>
      <c r="E380" s="89">
        <f>SUM(E378:E379)</f>
        <v>49481.835999999988</v>
      </c>
      <c r="F380" s="89"/>
      <c r="G380" s="87">
        <f t="shared" ref="G380:H380" si="105">SUM(G378:G379)</f>
        <v>161495.50812000001</v>
      </c>
      <c r="H380" s="87">
        <f t="shared" si="105"/>
        <v>1110799.0360000001</v>
      </c>
      <c r="I380" s="87"/>
      <c r="J380" s="87"/>
      <c r="K380" s="87"/>
      <c r="L380" s="122"/>
      <c r="M380" s="122"/>
      <c r="N380" s="122"/>
      <c r="O380" s="122"/>
      <c r="P380" s="105">
        <v>53321.09</v>
      </c>
      <c r="Q380" s="76"/>
      <c r="R380" s="77"/>
      <c r="S380" s="50"/>
    </row>
    <row r="381" spans="1:19" s="2" customFormat="1" ht="28.5" customHeight="1" x14ac:dyDescent="0.25">
      <c r="A381" s="20"/>
      <c r="B381" s="129"/>
      <c r="C381" s="131" t="s">
        <v>44</v>
      </c>
      <c r="D381" s="99" t="s">
        <v>73</v>
      </c>
      <c r="E381" s="93">
        <v>1970.8</v>
      </c>
      <c r="F381" s="94">
        <v>3.45</v>
      </c>
      <c r="G381" s="94">
        <f>E381*F381</f>
        <v>6799.26</v>
      </c>
      <c r="H381" s="94">
        <f>E381*45</f>
        <v>88686</v>
      </c>
      <c r="I381" s="94"/>
      <c r="J381" s="94"/>
      <c r="K381" s="94"/>
      <c r="L381" s="129"/>
      <c r="M381" s="129"/>
      <c r="N381" s="129"/>
      <c r="O381" s="129"/>
      <c r="P381" s="106">
        <v>0</v>
      </c>
      <c r="Q381" s="73"/>
      <c r="R381" s="74"/>
      <c r="S381" s="47"/>
    </row>
    <row r="382" spans="1:19" s="2" customFormat="1" ht="39.75" customHeight="1" x14ac:dyDescent="0.25">
      <c r="A382" s="18"/>
      <c r="B382" s="122"/>
      <c r="C382" s="132" t="s">
        <v>44</v>
      </c>
      <c r="D382" s="100" t="s">
        <v>74</v>
      </c>
      <c r="E382" s="89">
        <f>SUM(E380:E381)</f>
        <v>51452.635999999991</v>
      </c>
      <c r="F382" s="89"/>
      <c r="G382" s="87">
        <f t="shared" ref="G382:H382" si="106">SUM(G380:G381)</f>
        <v>168294.76812000002</v>
      </c>
      <c r="H382" s="87">
        <f t="shared" si="106"/>
        <v>1199485.0360000001</v>
      </c>
      <c r="I382" s="87"/>
      <c r="J382" s="87"/>
      <c r="K382" s="87"/>
      <c r="L382" s="122"/>
      <c r="M382" s="122"/>
      <c r="N382" s="122"/>
      <c r="O382" s="122"/>
      <c r="P382" s="105">
        <v>53321.09</v>
      </c>
      <c r="Q382" s="76"/>
      <c r="R382" s="77"/>
      <c r="S382" s="50"/>
    </row>
    <row r="383" spans="1:19" s="2" customFormat="1" ht="30.75" customHeight="1" x14ac:dyDescent="0.25">
      <c r="A383" s="20"/>
      <c r="B383" s="129"/>
      <c r="C383" s="131" t="s">
        <v>44</v>
      </c>
      <c r="D383" s="99" t="s">
        <v>76</v>
      </c>
      <c r="E383" s="93">
        <v>1738.65</v>
      </c>
      <c r="F383" s="94">
        <v>3.45</v>
      </c>
      <c r="G383" s="94">
        <f>E383*F383</f>
        <v>5998.3425000000007</v>
      </c>
      <c r="H383" s="94">
        <f>E383*45</f>
        <v>78239.25</v>
      </c>
      <c r="I383" s="94"/>
      <c r="J383" s="94"/>
      <c r="K383" s="94"/>
      <c r="L383" s="129"/>
      <c r="M383" s="129"/>
      <c r="N383" s="129"/>
      <c r="O383" s="129"/>
      <c r="P383" s="106">
        <v>0</v>
      </c>
      <c r="Q383" s="73"/>
      <c r="R383" s="74"/>
      <c r="S383" s="47"/>
    </row>
    <row r="384" spans="1:19" s="2" customFormat="1" ht="39.75" customHeight="1" x14ac:dyDescent="0.25">
      <c r="A384" s="20"/>
      <c r="B384" s="129"/>
      <c r="C384" s="131" t="s">
        <v>46</v>
      </c>
      <c r="D384" s="104"/>
      <c r="E384" s="93">
        <v>47.3</v>
      </c>
      <c r="F384" s="94">
        <v>0</v>
      </c>
      <c r="G384" s="94">
        <v>0</v>
      </c>
      <c r="H384" s="94">
        <v>0</v>
      </c>
      <c r="I384" s="94"/>
      <c r="J384" s="94"/>
      <c r="K384" s="94"/>
      <c r="L384" s="129"/>
      <c r="M384" s="129"/>
      <c r="N384" s="129"/>
      <c r="O384" s="129"/>
      <c r="P384" s="106"/>
      <c r="Q384" s="73"/>
      <c r="R384" s="74"/>
      <c r="S384" s="47"/>
    </row>
    <row r="385" spans="1:19" s="2" customFormat="1" ht="40.5" customHeight="1" x14ac:dyDescent="0.25">
      <c r="A385" s="18"/>
      <c r="B385" s="122"/>
      <c r="C385" s="132" t="s">
        <v>44</v>
      </c>
      <c r="D385" s="100" t="s">
        <v>77</v>
      </c>
      <c r="E385" s="89">
        <f>SUM(E382:E384)</f>
        <v>53238.585999999996</v>
      </c>
      <c r="F385" s="89"/>
      <c r="G385" s="87">
        <f t="shared" ref="G385:H385" si="107">SUM(G382:G384)</f>
        <v>174293.11062000002</v>
      </c>
      <c r="H385" s="87">
        <f t="shared" si="107"/>
        <v>1277724.2860000001</v>
      </c>
      <c r="I385" s="87"/>
      <c r="J385" s="87"/>
      <c r="K385" s="87"/>
      <c r="L385" s="122"/>
      <c r="M385" s="122"/>
      <c r="N385" s="122"/>
      <c r="O385" s="122"/>
      <c r="P385" s="105">
        <v>53321.09</v>
      </c>
      <c r="Q385" s="76"/>
      <c r="R385" s="77"/>
      <c r="S385" s="50"/>
    </row>
    <row r="386" spans="1:19" s="2" customFormat="1" ht="30.75" customHeight="1" x14ac:dyDescent="0.25">
      <c r="A386" s="20"/>
      <c r="B386" s="129"/>
      <c r="C386" s="131" t="s">
        <v>44</v>
      </c>
      <c r="D386" s="99" t="s">
        <v>80</v>
      </c>
      <c r="E386" s="93">
        <v>545.15</v>
      </c>
      <c r="F386" s="94">
        <v>3.45</v>
      </c>
      <c r="G386" s="94">
        <f>E386*F386</f>
        <v>1880.7674999999999</v>
      </c>
      <c r="H386" s="94">
        <f>E386*45</f>
        <v>24531.75</v>
      </c>
      <c r="I386" s="94"/>
      <c r="J386" s="94"/>
      <c r="K386" s="94"/>
      <c r="L386" s="129"/>
      <c r="M386" s="129"/>
      <c r="N386" s="129"/>
      <c r="O386" s="129"/>
      <c r="P386" s="106">
        <v>206149.14</v>
      </c>
      <c r="Q386" s="73"/>
      <c r="R386" s="74"/>
      <c r="S386" s="47"/>
    </row>
    <row r="387" spans="1:19" s="2" customFormat="1" ht="40.5" customHeight="1" x14ac:dyDescent="0.25">
      <c r="A387" s="18"/>
      <c r="B387" s="122"/>
      <c r="C387" s="132" t="s">
        <v>44</v>
      </c>
      <c r="D387" s="100" t="s">
        <v>79</v>
      </c>
      <c r="E387" s="89">
        <f>SUM(E385:E386)</f>
        <v>53783.735999999997</v>
      </c>
      <c r="F387" s="89"/>
      <c r="G387" s="87">
        <f t="shared" ref="G387:H387" si="108">SUM(G385:G386)</f>
        <v>176173.87812000001</v>
      </c>
      <c r="H387" s="87">
        <f t="shared" si="108"/>
        <v>1302256.0360000001</v>
      </c>
      <c r="I387" s="87"/>
      <c r="J387" s="87"/>
      <c r="K387" s="87"/>
      <c r="L387" s="122"/>
      <c r="M387" s="122"/>
      <c r="N387" s="122"/>
      <c r="O387" s="122"/>
      <c r="P387" s="105">
        <f>P385+P386</f>
        <v>259470.23</v>
      </c>
      <c r="Q387" s="76"/>
      <c r="R387" s="77"/>
      <c r="S387" s="50"/>
    </row>
    <row r="388" spans="1:19" s="2" customFormat="1" ht="33.75" customHeight="1" x14ac:dyDescent="0.25">
      <c r="A388" s="20"/>
      <c r="B388" s="129"/>
      <c r="C388" s="131" t="s">
        <v>44</v>
      </c>
      <c r="D388" s="99" t="s">
        <v>83</v>
      </c>
      <c r="E388" s="93">
        <v>362.56</v>
      </c>
      <c r="F388" s="94">
        <v>3.45</v>
      </c>
      <c r="G388" s="94">
        <f>E388*F388</f>
        <v>1250.8320000000001</v>
      </c>
      <c r="H388" s="94">
        <f>E388*57</f>
        <v>20665.920000000002</v>
      </c>
      <c r="I388" s="94"/>
      <c r="J388" s="94"/>
      <c r="K388" s="94"/>
      <c r="L388" s="129"/>
      <c r="M388" s="129"/>
      <c r="N388" s="129"/>
      <c r="O388" s="129"/>
      <c r="P388" s="106">
        <v>373753.59999999998</v>
      </c>
      <c r="Q388" s="73"/>
      <c r="R388" s="74"/>
      <c r="S388" s="47"/>
    </row>
    <row r="389" spans="1:19" s="2" customFormat="1" ht="39.75" customHeight="1" x14ac:dyDescent="0.25">
      <c r="A389" s="18"/>
      <c r="B389" s="122"/>
      <c r="C389" s="132" t="s">
        <v>44</v>
      </c>
      <c r="D389" s="100" t="s">
        <v>81</v>
      </c>
      <c r="E389" s="89">
        <f>SUM(E387:E388)</f>
        <v>54146.295999999995</v>
      </c>
      <c r="F389" s="89"/>
      <c r="G389" s="87">
        <f t="shared" ref="G389:P389" si="109">SUM(G387:G388)</f>
        <v>177424.71012</v>
      </c>
      <c r="H389" s="87">
        <f t="shared" si="109"/>
        <v>1322921.956</v>
      </c>
      <c r="I389" s="87"/>
      <c r="J389" s="87"/>
      <c r="K389" s="87"/>
      <c r="L389" s="87"/>
      <c r="M389" s="87"/>
      <c r="N389" s="87"/>
      <c r="O389" s="87"/>
      <c r="P389" s="87">
        <f t="shared" si="109"/>
        <v>633223.82999999996</v>
      </c>
      <c r="Q389" s="76"/>
      <c r="R389" s="77"/>
      <c r="S389" s="50"/>
    </row>
    <row r="390" spans="1:19" s="2" customFormat="1" ht="28.5" customHeight="1" x14ac:dyDescent="0.25">
      <c r="A390" s="20"/>
      <c r="B390" s="129"/>
      <c r="C390" s="131" t="s">
        <v>44</v>
      </c>
      <c r="D390" s="99" t="s">
        <v>84</v>
      </c>
      <c r="E390" s="93">
        <v>1197.8800000000001</v>
      </c>
      <c r="F390" s="94">
        <v>3.45</v>
      </c>
      <c r="G390" s="94">
        <f>E390*F390</f>
        <v>4132.6860000000006</v>
      </c>
      <c r="H390" s="94">
        <f>E390*57</f>
        <v>68279.16</v>
      </c>
      <c r="I390" s="94"/>
      <c r="J390" s="94"/>
      <c r="K390" s="94"/>
      <c r="L390" s="94"/>
      <c r="M390" s="94"/>
      <c r="N390" s="94"/>
      <c r="O390" s="94"/>
      <c r="P390" s="94">
        <v>0</v>
      </c>
      <c r="Q390" s="73"/>
      <c r="R390" s="74"/>
      <c r="S390" s="47"/>
    </row>
    <row r="391" spans="1:19" s="2" customFormat="1" ht="39.75" customHeight="1" x14ac:dyDescent="0.25">
      <c r="A391" s="18"/>
      <c r="B391" s="122"/>
      <c r="C391" s="132" t="s">
        <v>44</v>
      </c>
      <c r="D391" s="100" t="s">
        <v>86</v>
      </c>
      <c r="E391" s="89">
        <f>SUM(E389:E390)</f>
        <v>55344.175999999992</v>
      </c>
      <c r="F391" s="89"/>
      <c r="G391" s="87">
        <f t="shared" ref="G391:P391" si="110">SUM(G389:G390)</f>
        <v>181557.39611999999</v>
      </c>
      <c r="H391" s="87">
        <f t="shared" si="110"/>
        <v>1391201.1159999999</v>
      </c>
      <c r="I391" s="87"/>
      <c r="J391" s="87"/>
      <c r="K391" s="87"/>
      <c r="L391" s="87"/>
      <c r="M391" s="87"/>
      <c r="N391" s="87"/>
      <c r="O391" s="87"/>
      <c r="P391" s="87">
        <f t="shared" si="110"/>
        <v>633223.82999999996</v>
      </c>
      <c r="Q391" s="76"/>
      <c r="R391" s="77"/>
      <c r="S391" s="50"/>
    </row>
    <row r="392" spans="1:19" s="2" customFormat="1" ht="39.75" customHeight="1" x14ac:dyDescent="0.25">
      <c r="A392" s="20"/>
      <c r="B392" s="129"/>
      <c r="C392" s="131" t="s">
        <v>44</v>
      </c>
      <c r="D392" s="99" t="s">
        <v>89</v>
      </c>
      <c r="E392" s="93">
        <v>1922.82</v>
      </c>
      <c r="F392" s="94">
        <v>3.45</v>
      </c>
      <c r="G392" s="94">
        <f>E392*F392</f>
        <v>6633.7290000000003</v>
      </c>
      <c r="H392" s="94">
        <f>E392*57</f>
        <v>109600.73999999999</v>
      </c>
      <c r="I392" s="94"/>
      <c r="J392" s="94"/>
      <c r="K392" s="94"/>
      <c r="L392" s="94"/>
      <c r="M392" s="94"/>
      <c r="N392" s="94"/>
      <c r="O392" s="94"/>
      <c r="P392" s="94">
        <v>120528</v>
      </c>
      <c r="Q392" s="73"/>
      <c r="R392" s="74"/>
      <c r="S392" s="47"/>
    </row>
    <row r="393" spans="1:19" s="2" customFormat="1" ht="39.75" customHeight="1" x14ac:dyDescent="0.25">
      <c r="A393" s="20"/>
      <c r="B393" s="129"/>
      <c r="C393" s="131" t="s">
        <v>46</v>
      </c>
      <c r="D393" s="99"/>
      <c r="E393" s="93" t="s">
        <v>92</v>
      </c>
      <c r="F393" s="93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73"/>
      <c r="R393" s="74"/>
      <c r="S393" s="47"/>
    </row>
    <row r="394" spans="1:19" s="2" customFormat="1" ht="39.75" customHeight="1" x14ac:dyDescent="0.25">
      <c r="A394" s="18"/>
      <c r="B394" s="122"/>
      <c r="C394" s="132" t="s">
        <v>44</v>
      </c>
      <c r="D394" s="100" t="s">
        <v>90</v>
      </c>
      <c r="E394" s="89">
        <v>57270.565999999999</v>
      </c>
      <c r="F394" s="89"/>
      <c r="G394" s="87">
        <f t="shared" ref="G394:P394" si="111">SUM(G391:G393)</f>
        <v>188191.12511999998</v>
      </c>
      <c r="H394" s="87">
        <f t="shared" si="111"/>
        <v>1500801.8559999999</v>
      </c>
      <c r="I394" s="87"/>
      <c r="J394" s="87"/>
      <c r="K394" s="87"/>
      <c r="L394" s="87"/>
      <c r="M394" s="87"/>
      <c r="N394" s="87"/>
      <c r="O394" s="87"/>
      <c r="P394" s="87">
        <f t="shared" si="111"/>
        <v>753751.83</v>
      </c>
      <c r="Q394" s="76"/>
      <c r="R394" s="77"/>
      <c r="S394" s="50"/>
    </row>
    <row r="395" spans="1:19" s="2" customFormat="1" ht="31.5" customHeight="1" x14ac:dyDescent="0.25">
      <c r="A395" s="20"/>
      <c r="B395" s="129"/>
      <c r="C395" s="131" t="s">
        <v>44</v>
      </c>
      <c r="D395" s="99" t="s">
        <v>95</v>
      </c>
      <c r="E395" s="93">
        <v>1700.82</v>
      </c>
      <c r="F395" s="94">
        <v>3.45</v>
      </c>
      <c r="G395" s="94">
        <f>E395*F395</f>
        <v>5867.8289999999997</v>
      </c>
      <c r="H395" s="94">
        <f>E395*57</f>
        <v>96946.739999999991</v>
      </c>
      <c r="I395" s="94"/>
      <c r="J395" s="94"/>
      <c r="K395" s="94"/>
      <c r="L395" s="94"/>
      <c r="M395" s="94"/>
      <c r="N395" s="94"/>
      <c r="O395" s="94"/>
      <c r="P395" s="94">
        <v>0</v>
      </c>
      <c r="Q395" s="73"/>
      <c r="R395" s="74"/>
      <c r="S395" s="47"/>
    </row>
    <row r="396" spans="1:19" s="2" customFormat="1" ht="39.75" customHeight="1" x14ac:dyDescent="0.25">
      <c r="A396" s="18"/>
      <c r="B396" s="122"/>
      <c r="C396" s="132" t="s">
        <v>44</v>
      </c>
      <c r="D396" s="100" t="s">
        <v>94</v>
      </c>
      <c r="E396" s="89">
        <f>SUM(E394:E395)</f>
        <v>58971.385999999999</v>
      </c>
      <c r="F396" s="89"/>
      <c r="G396" s="87">
        <f t="shared" ref="G396:H396" si="112">SUM(G394:G395)</f>
        <v>194058.95411999998</v>
      </c>
      <c r="H396" s="87">
        <f t="shared" si="112"/>
        <v>1597748.5959999999</v>
      </c>
      <c r="I396" s="87"/>
      <c r="J396" s="87"/>
      <c r="K396" s="87"/>
      <c r="L396" s="87"/>
      <c r="M396" s="87"/>
      <c r="N396" s="87"/>
      <c r="O396" s="87"/>
      <c r="P396" s="87">
        <v>753751.83</v>
      </c>
      <c r="Q396" s="76"/>
      <c r="R396" s="77"/>
      <c r="S396" s="50"/>
    </row>
    <row r="397" spans="1:19" s="2" customFormat="1" ht="89.25" customHeight="1" x14ac:dyDescent="0.25">
      <c r="A397" s="20"/>
      <c r="B397" s="129"/>
      <c r="C397" s="131" t="s">
        <v>44</v>
      </c>
      <c r="D397" s="99" t="s">
        <v>98</v>
      </c>
      <c r="E397" s="93">
        <v>1589.32</v>
      </c>
      <c r="F397" s="94">
        <v>5.6</v>
      </c>
      <c r="G397" s="94">
        <f>E397*F397</f>
        <v>8900.1919999999991</v>
      </c>
      <c r="H397" s="94">
        <v>145570.64000000001</v>
      </c>
      <c r="I397" s="94"/>
      <c r="J397" s="94"/>
      <c r="K397" s="94"/>
      <c r="L397" s="94"/>
      <c r="M397" s="94"/>
      <c r="N397" s="94"/>
      <c r="O397" s="94"/>
      <c r="P397" s="220" t="s">
        <v>113</v>
      </c>
      <c r="Q397" s="73"/>
      <c r="R397" s="74"/>
      <c r="S397" s="217" t="s">
        <v>103</v>
      </c>
    </row>
    <row r="398" spans="1:19" s="2" customFormat="1" ht="39.75" customHeight="1" x14ac:dyDescent="0.25">
      <c r="A398" s="18"/>
      <c r="B398" s="122"/>
      <c r="C398" s="132" t="s">
        <v>44</v>
      </c>
      <c r="D398" s="100" t="s">
        <v>97</v>
      </c>
      <c r="E398" s="89">
        <f>SUM(E396:E397)</f>
        <v>60560.705999999998</v>
      </c>
      <c r="F398" s="89"/>
      <c r="G398" s="87">
        <f t="shared" ref="G398:H398" si="113">SUM(G396:G397)</f>
        <v>202959.14611999999</v>
      </c>
      <c r="H398" s="87">
        <f t="shared" si="113"/>
        <v>1743319.236</v>
      </c>
      <c r="I398" s="87"/>
      <c r="J398" s="87"/>
      <c r="K398" s="87"/>
      <c r="L398" s="87"/>
      <c r="M398" s="87"/>
      <c r="N398" s="87"/>
      <c r="O398" s="87"/>
      <c r="P398" s="221" t="s">
        <v>112</v>
      </c>
      <c r="Q398" s="76"/>
      <c r="R398" s="77"/>
      <c r="S398" s="50"/>
    </row>
    <row r="399" spans="1:19" s="2" customFormat="1" ht="39.75" customHeight="1" x14ac:dyDescent="0.25">
      <c r="A399" s="20"/>
      <c r="B399" s="129"/>
      <c r="C399" s="131" t="s">
        <v>44</v>
      </c>
      <c r="D399" s="99" t="s">
        <v>119</v>
      </c>
      <c r="E399" s="93">
        <v>1778.61</v>
      </c>
      <c r="F399" s="94">
        <v>5.6</v>
      </c>
      <c r="G399" s="94">
        <f>E399*F399</f>
        <v>9960.2159999999985</v>
      </c>
      <c r="H399" s="94">
        <f>E399*69</f>
        <v>122724.09</v>
      </c>
      <c r="I399" s="94"/>
      <c r="J399" s="94"/>
      <c r="K399" s="94"/>
      <c r="L399" s="94"/>
      <c r="M399" s="94"/>
      <c r="N399" s="94"/>
      <c r="O399" s="94"/>
      <c r="P399" s="220" t="s">
        <v>123</v>
      </c>
      <c r="Q399" s="73"/>
      <c r="R399" s="74"/>
      <c r="S399" s="47"/>
    </row>
    <row r="400" spans="1:19" s="2" customFormat="1" ht="39.75" customHeight="1" x14ac:dyDescent="0.25">
      <c r="A400" s="18"/>
      <c r="B400" s="122"/>
      <c r="C400" s="132" t="s">
        <v>44</v>
      </c>
      <c r="D400" s="100" t="s">
        <v>120</v>
      </c>
      <c r="E400" s="89">
        <f>SUM(E398:E399)</f>
        <v>62339.315999999999</v>
      </c>
      <c r="F400" s="89"/>
      <c r="G400" s="87">
        <f t="shared" ref="G400:H400" si="114">SUM(G398:G399)</f>
        <v>212919.36211999998</v>
      </c>
      <c r="H400" s="87">
        <f t="shared" si="114"/>
        <v>1866043.3260000001</v>
      </c>
      <c r="I400" s="87"/>
      <c r="J400" s="87"/>
      <c r="K400" s="87"/>
      <c r="L400" s="87"/>
      <c r="M400" s="87"/>
      <c r="N400" s="87"/>
      <c r="O400" s="87"/>
      <c r="P400" s="221" t="s">
        <v>141</v>
      </c>
      <c r="Q400" s="76"/>
      <c r="R400" s="77"/>
      <c r="S400" s="50"/>
    </row>
    <row r="401" spans="1:19" s="2" customFormat="1" ht="39.75" customHeight="1" x14ac:dyDescent="0.25">
      <c r="A401" s="20"/>
      <c r="B401" s="129"/>
      <c r="C401" s="131" t="s">
        <v>44</v>
      </c>
      <c r="D401" s="99" t="s">
        <v>139</v>
      </c>
      <c r="E401" s="93">
        <v>1992.83</v>
      </c>
      <c r="F401" s="94">
        <v>5.6</v>
      </c>
      <c r="G401" s="94">
        <f>SUM(E401*F401)</f>
        <v>11159.847999999998</v>
      </c>
      <c r="H401" s="94">
        <f>SUM(E401*69)</f>
        <v>137505.26999999999</v>
      </c>
      <c r="I401" s="94"/>
      <c r="J401" s="94"/>
      <c r="K401" s="94"/>
      <c r="L401" s="94"/>
      <c r="M401" s="94"/>
      <c r="N401" s="94"/>
      <c r="O401" s="94"/>
      <c r="P401" s="220" t="s">
        <v>158</v>
      </c>
      <c r="Q401" s="73"/>
      <c r="R401" s="74"/>
      <c r="S401" s="47"/>
    </row>
    <row r="402" spans="1:19" s="2" customFormat="1" ht="39.75" customHeight="1" x14ac:dyDescent="0.25">
      <c r="A402" s="18"/>
      <c r="B402" s="122"/>
      <c r="C402" s="132" t="s">
        <v>44</v>
      </c>
      <c r="D402" s="100" t="s">
        <v>140</v>
      </c>
      <c r="E402" s="89">
        <f>SUM(E400:E401)</f>
        <v>64332.146000000001</v>
      </c>
      <c r="F402" s="89"/>
      <c r="G402" s="87">
        <f t="shared" ref="G402:H402" si="115">SUM(G400:G401)</f>
        <v>224079.21011999997</v>
      </c>
      <c r="H402" s="87">
        <f t="shared" si="115"/>
        <v>2003548.5960000001</v>
      </c>
      <c r="I402" s="87"/>
      <c r="J402" s="87"/>
      <c r="K402" s="87"/>
      <c r="L402" s="87"/>
      <c r="M402" s="87"/>
      <c r="N402" s="87"/>
      <c r="O402" s="87"/>
      <c r="P402" s="221" t="s">
        <v>142</v>
      </c>
      <c r="Q402" s="76"/>
      <c r="R402" s="77"/>
      <c r="S402" s="50"/>
    </row>
    <row r="403" spans="1:19" s="2" customFormat="1" ht="39.75" customHeight="1" x14ac:dyDescent="0.25">
      <c r="A403" s="20"/>
      <c r="B403" s="129"/>
      <c r="C403" s="131" t="s">
        <v>44</v>
      </c>
      <c r="D403" s="99" t="s">
        <v>144</v>
      </c>
      <c r="E403" s="93">
        <v>1759.07</v>
      </c>
      <c r="F403" s="94">
        <v>5.6</v>
      </c>
      <c r="G403" s="94">
        <v>9850.7919999999995</v>
      </c>
      <c r="H403" s="94">
        <v>121375.83</v>
      </c>
      <c r="I403" s="94"/>
      <c r="J403" s="94"/>
      <c r="K403" s="94"/>
      <c r="L403" s="94"/>
      <c r="M403" s="94"/>
      <c r="N403" s="94"/>
      <c r="O403" s="94"/>
      <c r="P403" s="220" t="s">
        <v>161</v>
      </c>
      <c r="Q403" s="73"/>
      <c r="R403" s="74"/>
      <c r="S403" s="47"/>
    </row>
    <row r="404" spans="1:19" s="2" customFormat="1" ht="39.75" customHeight="1" x14ac:dyDescent="0.25">
      <c r="A404" s="18"/>
      <c r="B404" s="122"/>
      <c r="C404" s="132" t="s">
        <v>44</v>
      </c>
      <c r="D404" s="100" t="s">
        <v>145</v>
      </c>
      <c r="E404" s="89">
        <f>SUM(E402:E403)</f>
        <v>66091.216</v>
      </c>
      <c r="F404" s="89"/>
      <c r="G404" s="87">
        <f t="shared" ref="G404:H404" si="116">SUM(G402:G403)</f>
        <v>233930.00211999996</v>
      </c>
      <c r="H404" s="87">
        <f t="shared" si="116"/>
        <v>2124924.426</v>
      </c>
      <c r="I404" s="87"/>
      <c r="J404" s="87"/>
      <c r="K404" s="87"/>
      <c r="L404" s="87"/>
      <c r="M404" s="87"/>
      <c r="N404" s="87"/>
      <c r="O404" s="87"/>
      <c r="P404" s="221" t="s">
        <v>162</v>
      </c>
      <c r="Q404" s="76"/>
      <c r="R404" s="77"/>
      <c r="S404" s="50"/>
    </row>
    <row r="405" spans="1:19" s="2" customFormat="1" ht="39.75" customHeight="1" x14ac:dyDescent="0.25">
      <c r="A405" s="20"/>
      <c r="B405" s="129"/>
      <c r="C405" s="131" t="s">
        <v>44</v>
      </c>
      <c r="D405" s="99" t="s">
        <v>169</v>
      </c>
      <c r="E405" s="93">
        <v>1492.62</v>
      </c>
      <c r="F405" s="94">
        <v>5.6</v>
      </c>
      <c r="G405" s="94">
        <f>E405*F405</f>
        <v>8358.6719999999987</v>
      </c>
      <c r="H405" s="94">
        <f>E405*82</f>
        <v>122394.84</v>
      </c>
      <c r="I405" s="94"/>
      <c r="J405" s="94"/>
      <c r="K405" s="94"/>
      <c r="L405" s="94"/>
      <c r="M405" s="94"/>
      <c r="N405" s="94"/>
      <c r="O405" s="94"/>
      <c r="P405" s="220" t="s">
        <v>178</v>
      </c>
      <c r="Q405" s="73"/>
      <c r="R405" s="74"/>
      <c r="S405" s="47"/>
    </row>
    <row r="406" spans="1:19" s="2" customFormat="1" ht="39.75" customHeight="1" x14ac:dyDescent="0.25">
      <c r="A406" s="18"/>
      <c r="B406" s="122"/>
      <c r="C406" s="132" t="s">
        <v>44</v>
      </c>
      <c r="D406" s="100" t="s">
        <v>167</v>
      </c>
      <c r="E406" s="89">
        <f>SUM(E404:E405)</f>
        <v>67583.835999999996</v>
      </c>
      <c r="F406" s="89"/>
      <c r="G406" s="87">
        <f t="shared" ref="G406:H406" si="117">SUM(G404:G405)</f>
        <v>242288.67411999995</v>
      </c>
      <c r="H406" s="87">
        <f t="shared" si="117"/>
        <v>2247319.2659999998</v>
      </c>
      <c r="I406" s="87"/>
      <c r="J406" s="87"/>
      <c r="K406" s="87"/>
      <c r="L406" s="87"/>
      <c r="M406" s="87"/>
      <c r="N406" s="87"/>
      <c r="O406" s="87"/>
      <c r="P406" s="221" t="s">
        <v>179</v>
      </c>
      <c r="Q406" s="76"/>
      <c r="R406" s="77"/>
      <c r="S406" s="50"/>
    </row>
    <row r="407" spans="1:19" s="2" customFormat="1" ht="39.75" customHeight="1" x14ac:dyDescent="0.25">
      <c r="A407" s="20"/>
      <c r="B407" s="129"/>
      <c r="C407" s="131" t="s">
        <v>44</v>
      </c>
      <c r="D407" s="99" t="s">
        <v>166</v>
      </c>
      <c r="E407" s="93">
        <v>1894.44</v>
      </c>
      <c r="F407" s="94">
        <v>5.6</v>
      </c>
      <c r="G407" s="94">
        <f>638.96*5.6</f>
        <v>3578.1759999999999</v>
      </c>
      <c r="H407" s="94">
        <f>638.96*82</f>
        <v>52394.720000000001</v>
      </c>
      <c r="I407" s="94">
        <f>1255.48*5.6</f>
        <v>7030.6880000000001</v>
      </c>
      <c r="J407" s="94">
        <f>1255.48*82</f>
        <v>102949.36</v>
      </c>
      <c r="K407" s="94"/>
      <c r="L407" s="94"/>
      <c r="M407" s="94"/>
      <c r="N407" s="94"/>
      <c r="O407" s="94"/>
      <c r="P407" s="220">
        <v>0</v>
      </c>
      <c r="Q407" s="73"/>
      <c r="R407" s="74"/>
      <c r="S407" s="47"/>
    </row>
    <row r="408" spans="1:19" s="2" customFormat="1" ht="39.75" customHeight="1" x14ac:dyDescent="0.25">
      <c r="A408" s="18"/>
      <c r="B408" s="122"/>
      <c r="C408" s="132" t="s">
        <v>44</v>
      </c>
      <c r="D408" s="100" t="s">
        <v>168</v>
      </c>
      <c r="E408" s="89">
        <f>SUM(E406:E407)</f>
        <v>69478.275999999998</v>
      </c>
      <c r="F408" s="89"/>
      <c r="G408" s="87">
        <f t="shared" ref="G408:J408" si="118">SUM(G406:G407)</f>
        <v>245866.85011999996</v>
      </c>
      <c r="H408" s="87">
        <f t="shared" si="118"/>
        <v>2299713.986</v>
      </c>
      <c r="I408" s="87">
        <f t="shared" si="118"/>
        <v>7030.6880000000001</v>
      </c>
      <c r="J408" s="87">
        <f t="shared" si="118"/>
        <v>102949.36</v>
      </c>
      <c r="K408" s="87"/>
      <c r="L408" s="87"/>
      <c r="M408" s="87"/>
      <c r="N408" s="87"/>
      <c r="O408" s="87"/>
      <c r="P408" s="221" t="s">
        <v>179</v>
      </c>
      <c r="Q408" s="76"/>
      <c r="R408" s="77"/>
      <c r="S408" s="50"/>
    </row>
    <row r="409" spans="1:19" s="236" customFormat="1" ht="39.75" customHeight="1" x14ac:dyDescent="0.25">
      <c r="A409" s="230"/>
      <c r="B409" s="237"/>
      <c r="C409" s="131" t="s">
        <v>44</v>
      </c>
      <c r="D409" s="99" t="s">
        <v>195</v>
      </c>
      <c r="E409" s="231">
        <v>1850.44</v>
      </c>
      <c r="F409" s="94">
        <v>5.6</v>
      </c>
      <c r="G409" s="94">
        <f>1255.48*5.6</f>
        <v>7030.6880000000001</v>
      </c>
      <c r="H409" s="94">
        <f>1255.48*82</f>
        <v>102949.36</v>
      </c>
      <c r="I409" s="232">
        <f>E409*5.6</f>
        <v>10362.464</v>
      </c>
      <c r="J409" s="232">
        <f>E409*82</f>
        <v>151736.08000000002</v>
      </c>
      <c r="K409" s="232"/>
      <c r="L409" s="232"/>
      <c r="M409" s="232"/>
      <c r="N409" s="232"/>
      <c r="O409" s="232"/>
      <c r="P409" s="220">
        <v>0</v>
      </c>
      <c r="Q409" s="247"/>
      <c r="R409" s="248"/>
      <c r="S409" s="235"/>
    </row>
    <row r="410" spans="1:19" s="2" customFormat="1" ht="39.75" customHeight="1" x14ac:dyDescent="0.25">
      <c r="A410" s="18"/>
      <c r="B410" s="122"/>
      <c r="C410" s="132" t="s">
        <v>44</v>
      </c>
      <c r="D410" s="100" t="s">
        <v>196</v>
      </c>
      <c r="E410" s="89">
        <f>SUM(E408:E409)</f>
        <v>71328.716</v>
      </c>
      <c r="F410" s="89"/>
      <c r="G410" s="87">
        <f>SUM(G408:G409)</f>
        <v>252897.53811999995</v>
      </c>
      <c r="H410" s="87">
        <f>SUM(H408:H409)</f>
        <v>2402663.3459999999</v>
      </c>
      <c r="I410" s="87">
        <v>10362.459999999999</v>
      </c>
      <c r="J410" s="87">
        <v>151736.07999999999</v>
      </c>
      <c r="K410" s="87"/>
      <c r="L410" s="87"/>
      <c r="M410" s="87"/>
      <c r="N410" s="87"/>
      <c r="O410" s="87"/>
      <c r="P410" s="221" t="s">
        <v>179</v>
      </c>
      <c r="Q410" s="76"/>
      <c r="R410" s="77"/>
      <c r="S410" s="50"/>
    </row>
    <row r="411" spans="1:19" s="236" customFormat="1" ht="39.75" customHeight="1" x14ac:dyDescent="0.25">
      <c r="A411" s="230"/>
      <c r="B411" s="237"/>
      <c r="C411" s="131" t="s">
        <v>44</v>
      </c>
      <c r="D411" s="99" t="s">
        <v>201</v>
      </c>
      <c r="E411" s="231">
        <v>1666.71</v>
      </c>
      <c r="F411" s="94">
        <v>5.6</v>
      </c>
      <c r="G411" s="232">
        <f>2425.96*5.6</f>
        <v>13585.376</v>
      </c>
      <c r="H411" s="232">
        <f>2425.96*82</f>
        <v>198928.72</v>
      </c>
      <c r="I411" s="232">
        <f>1091.19*5.6</f>
        <v>6110.6639999999998</v>
      </c>
      <c r="J411" s="232">
        <f>1091.19*82</f>
        <v>89477.58</v>
      </c>
      <c r="K411" s="232"/>
      <c r="L411" s="232"/>
      <c r="M411" s="232"/>
      <c r="N411" s="232"/>
      <c r="O411" s="232"/>
      <c r="P411" s="220">
        <v>0</v>
      </c>
      <c r="Q411" s="247"/>
      <c r="R411" s="248"/>
      <c r="S411" s="235"/>
    </row>
    <row r="412" spans="1:19" s="2" customFormat="1" ht="39.75" customHeight="1" x14ac:dyDescent="0.25">
      <c r="A412" s="18"/>
      <c r="B412" s="122"/>
      <c r="C412" s="132" t="s">
        <v>44</v>
      </c>
      <c r="D412" s="100" t="s">
        <v>202</v>
      </c>
      <c r="E412" s="89">
        <f>SUM(E410:E411)</f>
        <v>72995.426000000007</v>
      </c>
      <c r="F412" s="89"/>
      <c r="G412" s="87">
        <f>SUM(G410:G411)</f>
        <v>266482.91411999997</v>
      </c>
      <c r="H412" s="87">
        <f>SUM(H410:H411)</f>
        <v>2601592.0660000001</v>
      </c>
      <c r="I412" s="87">
        <v>6110.66</v>
      </c>
      <c r="J412" s="87">
        <v>89477.58</v>
      </c>
      <c r="K412" s="87"/>
      <c r="L412" s="87"/>
      <c r="M412" s="87"/>
      <c r="N412" s="87"/>
      <c r="O412" s="87"/>
      <c r="P412" s="221" t="s">
        <v>179</v>
      </c>
      <c r="Q412" s="76"/>
      <c r="R412" s="77"/>
      <c r="S412" s="50"/>
    </row>
    <row r="413" spans="1:19" s="236" customFormat="1" ht="39.75" customHeight="1" x14ac:dyDescent="0.25">
      <c r="A413" s="230"/>
      <c r="B413" s="237"/>
      <c r="C413" s="131" t="s">
        <v>44</v>
      </c>
      <c r="D413" s="99" t="s">
        <v>208</v>
      </c>
      <c r="E413" s="231">
        <v>1420.88</v>
      </c>
      <c r="F413" s="94">
        <v>5.6</v>
      </c>
      <c r="G413" s="232"/>
      <c r="H413" s="232"/>
      <c r="I413" s="232">
        <f>1420.88*5.6</f>
        <v>7956.9279999999999</v>
      </c>
      <c r="J413" s="232">
        <f>1420.88*95</f>
        <v>134983.6</v>
      </c>
      <c r="K413" s="232"/>
      <c r="L413" s="232"/>
      <c r="M413" s="232"/>
      <c r="N413" s="232"/>
      <c r="O413" s="232"/>
      <c r="P413" s="233"/>
      <c r="Q413" s="247"/>
      <c r="R413" s="248"/>
      <c r="S413" s="235"/>
    </row>
    <row r="414" spans="1:19" s="2" customFormat="1" ht="39.75" customHeight="1" x14ac:dyDescent="0.25">
      <c r="A414" s="18"/>
      <c r="B414" s="122"/>
      <c r="C414" s="132" t="s">
        <v>44</v>
      </c>
      <c r="D414" s="100" t="s">
        <v>209</v>
      </c>
      <c r="E414" s="89">
        <f>SUM(E412:E413)</f>
        <v>74416.306000000011</v>
      </c>
      <c r="F414" s="89"/>
      <c r="G414" s="87">
        <f>SUM(G412:G413)</f>
        <v>266482.91411999997</v>
      </c>
      <c r="H414" s="87">
        <f>SUM(H412:H413)</f>
        <v>2601592.0660000001</v>
      </c>
      <c r="I414" s="87">
        <f>SUM(I412:I413)</f>
        <v>14067.588</v>
      </c>
      <c r="J414" s="87">
        <f>SUM(J412:J413)</f>
        <v>224461.18</v>
      </c>
      <c r="K414" s="87"/>
      <c r="L414" s="87"/>
      <c r="M414" s="87"/>
      <c r="N414" s="87"/>
      <c r="O414" s="87"/>
      <c r="P414" s="221" t="s">
        <v>212</v>
      </c>
      <c r="Q414" s="76"/>
      <c r="R414" s="77"/>
      <c r="S414" s="50"/>
    </row>
    <row r="415" spans="1:19" s="236" customFormat="1" ht="39.75" customHeight="1" x14ac:dyDescent="0.25">
      <c r="A415" s="230"/>
      <c r="B415" s="237"/>
      <c r="C415" s="131" t="s">
        <v>44</v>
      </c>
      <c r="D415" s="99" t="s">
        <v>215</v>
      </c>
      <c r="E415" s="231">
        <v>1850.88</v>
      </c>
      <c r="F415" s="94">
        <v>5.6</v>
      </c>
      <c r="G415" s="232">
        <f>1979.69*5.6</f>
        <v>11086.263999999999</v>
      </c>
      <c r="H415" s="232">
        <f>89477.58+888.5*95</f>
        <v>173885.08000000002</v>
      </c>
      <c r="I415" s="232">
        <f>2383.26*5.6</f>
        <v>13346.256000000001</v>
      </c>
      <c r="J415" s="232">
        <f>2383.26*95</f>
        <v>226409.7</v>
      </c>
      <c r="K415" s="232"/>
      <c r="L415" s="232"/>
      <c r="M415" s="232"/>
      <c r="N415" s="232"/>
      <c r="O415" s="232"/>
      <c r="P415" s="233"/>
      <c r="Q415" s="247"/>
      <c r="R415" s="248"/>
      <c r="S415" s="235"/>
    </row>
    <row r="416" spans="1:19" s="2" customFormat="1" ht="39.75" customHeight="1" x14ac:dyDescent="0.25">
      <c r="A416" s="18"/>
      <c r="B416" s="122"/>
      <c r="C416" s="132" t="s">
        <v>44</v>
      </c>
      <c r="D416" s="100" t="s">
        <v>216</v>
      </c>
      <c r="E416" s="89">
        <f>SUM(E414:E415)</f>
        <v>76267.186000000016</v>
      </c>
      <c r="F416" s="89"/>
      <c r="G416" s="87">
        <f>SUM(G414:G415)</f>
        <v>277569.17812</v>
      </c>
      <c r="H416" s="87">
        <f>SUM(H414:H415)</f>
        <v>2775477.1460000002</v>
      </c>
      <c r="I416" s="87">
        <v>13346.26</v>
      </c>
      <c r="J416" s="87">
        <v>226409.7</v>
      </c>
      <c r="K416" s="87"/>
      <c r="L416" s="87"/>
      <c r="M416" s="87"/>
      <c r="N416" s="87"/>
      <c r="O416" s="87"/>
      <c r="P416" s="221" t="s">
        <v>212</v>
      </c>
      <c r="Q416" s="76"/>
      <c r="R416" s="77"/>
      <c r="S416" s="50"/>
    </row>
    <row r="417" spans="1:19" s="2" customFormat="1" ht="39.75" customHeight="1" x14ac:dyDescent="0.25">
      <c r="A417" s="20"/>
      <c r="B417" s="129"/>
      <c r="C417" s="131" t="s">
        <v>229</v>
      </c>
      <c r="D417" s="99" t="s">
        <v>218</v>
      </c>
      <c r="E417" s="93">
        <v>1892.05</v>
      </c>
      <c r="F417" s="94">
        <v>5.6</v>
      </c>
      <c r="G417" s="94">
        <v>13346.26</v>
      </c>
      <c r="H417" s="94">
        <v>226409.7</v>
      </c>
      <c r="I417" s="94">
        <f>1892.05*5.6</f>
        <v>10595.48</v>
      </c>
      <c r="J417" s="94">
        <f>1892.05*95</f>
        <v>179744.75</v>
      </c>
      <c r="K417" s="94"/>
      <c r="L417" s="94"/>
      <c r="M417" s="94"/>
      <c r="N417" s="94"/>
      <c r="O417" s="94"/>
      <c r="P417" s="220"/>
      <c r="Q417" s="73"/>
      <c r="R417" s="74"/>
      <c r="S417" s="47"/>
    </row>
    <row r="418" spans="1:19" s="2" customFormat="1" ht="39.75" customHeight="1" x14ac:dyDescent="0.25">
      <c r="A418" s="18"/>
      <c r="B418" s="122"/>
      <c r="C418" s="132" t="s">
        <v>44</v>
      </c>
      <c r="D418" s="100" t="s">
        <v>219</v>
      </c>
      <c r="E418" s="89">
        <f>SUM(E416:E417)</f>
        <v>78159.236000000019</v>
      </c>
      <c r="F418" s="89"/>
      <c r="G418" s="87">
        <f>SUM(G416:G417)</f>
        <v>290915.43812000001</v>
      </c>
      <c r="H418" s="87">
        <f>SUM(H416:H417)</f>
        <v>3001886.8460000004</v>
      </c>
      <c r="I418" s="87">
        <v>10595.48</v>
      </c>
      <c r="J418" s="87">
        <v>179744.75</v>
      </c>
      <c r="K418" s="87"/>
      <c r="L418" s="87"/>
      <c r="M418" s="87"/>
      <c r="N418" s="87"/>
      <c r="O418" s="87"/>
      <c r="P418" s="221" t="s">
        <v>212</v>
      </c>
      <c r="Q418" s="76"/>
      <c r="R418" s="77"/>
      <c r="S418" s="50"/>
    </row>
    <row r="419" spans="1:19" s="236" customFormat="1" ht="39.75" customHeight="1" x14ac:dyDescent="0.25">
      <c r="A419" s="230"/>
      <c r="B419" s="237"/>
      <c r="C419" s="131" t="s">
        <v>44</v>
      </c>
      <c r="D419" s="99" t="s">
        <v>227</v>
      </c>
      <c r="E419" s="231">
        <v>1652.7</v>
      </c>
      <c r="F419" s="94">
        <v>5.6</v>
      </c>
      <c r="G419" s="232">
        <f>1233.72*5.6</f>
        <v>6908.8319999999994</v>
      </c>
      <c r="H419" s="232">
        <f>1233.72*95</f>
        <v>117203.40000000001</v>
      </c>
      <c r="I419" s="232">
        <f>(658.33+1652.7)*5.6</f>
        <v>12941.768</v>
      </c>
      <c r="J419" s="232">
        <f>(658.33+1652.7)*95</f>
        <v>219547.85</v>
      </c>
      <c r="K419" s="232"/>
      <c r="L419" s="232"/>
      <c r="M419" s="232"/>
      <c r="N419" s="232"/>
      <c r="O419" s="232"/>
      <c r="P419" s="233" t="s">
        <v>231</v>
      </c>
      <c r="Q419" s="247"/>
      <c r="R419" s="248"/>
      <c r="S419" s="235"/>
    </row>
    <row r="420" spans="1:19" s="2" customFormat="1" ht="39.75" customHeight="1" x14ac:dyDescent="0.25">
      <c r="A420" s="18"/>
      <c r="B420" s="122"/>
      <c r="C420" s="132" t="s">
        <v>44</v>
      </c>
      <c r="D420" s="100" t="s">
        <v>228</v>
      </c>
      <c r="E420" s="89">
        <f>SUM(E418:E419)</f>
        <v>79811.936000000016</v>
      </c>
      <c r="F420" s="89"/>
      <c r="G420" s="87">
        <f>SUM(G418:G419)</f>
        <v>297824.27012</v>
      </c>
      <c r="H420" s="87">
        <f>SUM(H418:H419)</f>
        <v>3119090.2460000003</v>
      </c>
      <c r="I420" s="87">
        <v>12941.77</v>
      </c>
      <c r="J420" s="87">
        <v>219547.85</v>
      </c>
      <c r="K420" s="87"/>
      <c r="L420" s="87"/>
      <c r="M420" s="87"/>
      <c r="N420" s="87"/>
      <c r="O420" s="87"/>
      <c r="P420" s="221" t="s">
        <v>238</v>
      </c>
      <c r="Q420" s="76"/>
      <c r="R420" s="77"/>
      <c r="S420" s="50"/>
    </row>
    <row r="421" spans="1:19" s="2" customFormat="1" ht="39.75" customHeight="1" x14ac:dyDescent="0.25">
      <c r="A421" s="18"/>
      <c r="B421" s="122"/>
      <c r="C421" s="132" t="s">
        <v>44</v>
      </c>
      <c r="D421" s="100" t="s">
        <v>245</v>
      </c>
      <c r="E421" s="89">
        <v>93414.725999999995</v>
      </c>
      <c r="F421" s="89"/>
      <c r="G421" s="87">
        <v>358792.48</v>
      </c>
      <c r="H421" s="87">
        <v>4305718.51</v>
      </c>
      <c r="I421" s="87">
        <v>408570.06</v>
      </c>
      <c r="J421" s="87">
        <v>4630903.1500000004</v>
      </c>
      <c r="K421" s="87"/>
      <c r="L421" s="87"/>
      <c r="M421" s="87"/>
      <c r="N421" s="87"/>
      <c r="O421" s="87"/>
      <c r="P421" s="221" t="s">
        <v>252</v>
      </c>
      <c r="Q421" s="76"/>
      <c r="R421" s="77"/>
      <c r="S421" s="50"/>
    </row>
    <row r="422" spans="1:19" x14ac:dyDescent="0.25">
      <c r="A422" s="23"/>
      <c r="B422" s="23"/>
      <c r="C422" s="23"/>
      <c r="D422" s="36"/>
      <c r="E422" s="53"/>
      <c r="F422" s="35"/>
      <c r="G422" s="35"/>
      <c r="H422" s="35"/>
      <c r="I422" s="35"/>
      <c r="J422" s="35"/>
      <c r="K422" s="36"/>
      <c r="L422" s="36"/>
      <c r="M422" s="36"/>
      <c r="N422" s="36"/>
      <c r="O422" s="36"/>
      <c r="P422" s="36"/>
      <c r="Q422" s="36"/>
      <c r="R422" s="72"/>
      <c r="S422" s="55"/>
    </row>
    <row r="423" spans="1:19" ht="34.5" customHeight="1" x14ac:dyDescent="0.25">
      <c r="A423" s="16"/>
      <c r="B423" s="115" t="s">
        <v>40</v>
      </c>
      <c r="C423" s="136" t="s">
        <v>47</v>
      </c>
      <c r="D423" s="160">
        <v>2011</v>
      </c>
      <c r="E423" s="161">
        <v>1075.76</v>
      </c>
      <c r="F423" s="141">
        <v>3.18</v>
      </c>
      <c r="G423" s="94">
        <f>E423*F423</f>
        <v>3420.9168</v>
      </c>
      <c r="H423" s="94">
        <v>3227.28</v>
      </c>
      <c r="I423" s="84"/>
      <c r="J423" s="84"/>
      <c r="K423" s="84"/>
      <c r="L423" s="119"/>
      <c r="M423" s="119"/>
      <c r="N423" s="119"/>
      <c r="O423" s="119"/>
      <c r="P423" s="84">
        <v>0</v>
      </c>
      <c r="Q423" s="38"/>
      <c r="R423" s="75"/>
      <c r="S423" s="51"/>
    </row>
    <row r="424" spans="1:19" ht="25.5" x14ac:dyDescent="0.25">
      <c r="A424" s="16"/>
      <c r="B424" s="119"/>
      <c r="C424" s="136" t="s">
        <v>47</v>
      </c>
      <c r="D424" s="160">
        <v>2012</v>
      </c>
      <c r="E424" s="161">
        <v>2871.61</v>
      </c>
      <c r="F424" s="141">
        <v>3.18</v>
      </c>
      <c r="G424" s="94">
        <f>E424*F424</f>
        <v>9131.7198000000008</v>
      </c>
      <c r="H424" s="94">
        <v>25844.49</v>
      </c>
      <c r="I424" s="84"/>
      <c r="J424" s="84"/>
      <c r="K424" s="84"/>
      <c r="L424" s="119"/>
      <c r="M424" s="119"/>
      <c r="N424" s="119"/>
      <c r="O424" s="119"/>
      <c r="P424" s="84">
        <v>0</v>
      </c>
      <c r="Q424" s="38"/>
      <c r="R424" s="75"/>
      <c r="S424" s="51"/>
    </row>
    <row r="425" spans="1:19" ht="35.25" customHeight="1" x14ac:dyDescent="0.25">
      <c r="A425" s="18"/>
      <c r="B425" s="122"/>
      <c r="C425" s="132" t="s">
        <v>47</v>
      </c>
      <c r="D425" s="96" t="s">
        <v>25</v>
      </c>
      <c r="E425" s="89">
        <f>SUM(E423:E424)</f>
        <v>3947.37</v>
      </c>
      <c r="F425" s="89"/>
      <c r="G425" s="87">
        <f t="shared" ref="G425:H425" si="119">SUM(G423:G424)</f>
        <v>12552.636600000002</v>
      </c>
      <c r="H425" s="87">
        <f t="shared" si="119"/>
        <v>29071.77</v>
      </c>
      <c r="I425" s="87"/>
      <c r="J425" s="87"/>
      <c r="K425" s="87"/>
      <c r="L425" s="122"/>
      <c r="M425" s="122"/>
      <c r="N425" s="122"/>
      <c r="O425" s="122"/>
      <c r="P425" s="87">
        <v>0</v>
      </c>
      <c r="Q425" s="76"/>
      <c r="R425" s="77"/>
      <c r="S425" s="50"/>
    </row>
    <row r="426" spans="1:19" ht="25.5" x14ac:dyDescent="0.25">
      <c r="A426" s="16"/>
      <c r="B426" s="119"/>
      <c r="C426" s="136" t="s">
        <v>47</v>
      </c>
      <c r="D426" s="160">
        <v>2013</v>
      </c>
      <c r="E426" s="161">
        <v>1434.904</v>
      </c>
      <c r="F426" s="141">
        <v>3.18</v>
      </c>
      <c r="G426" s="94">
        <f>E426*F426</f>
        <v>4562.9947200000006</v>
      </c>
      <c r="H426" s="94">
        <v>21523.56</v>
      </c>
      <c r="I426" s="84"/>
      <c r="J426" s="84"/>
      <c r="K426" s="84"/>
      <c r="L426" s="119"/>
      <c r="M426" s="119"/>
      <c r="N426" s="119"/>
      <c r="O426" s="119"/>
      <c r="P426" s="84">
        <v>0</v>
      </c>
      <c r="Q426" s="38"/>
      <c r="R426" s="75"/>
      <c r="S426" s="51"/>
    </row>
    <row r="427" spans="1:19" ht="36" customHeight="1" x14ac:dyDescent="0.25">
      <c r="A427" s="18"/>
      <c r="B427" s="122"/>
      <c r="C427" s="132" t="s">
        <v>47</v>
      </c>
      <c r="D427" s="96" t="s">
        <v>38</v>
      </c>
      <c r="E427" s="89">
        <f>SUM(E425:E426)</f>
        <v>5382.2739999999994</v>
      </c>
      <c r="F427" s="89"/>
      <c r="G427" s="87">
        <f t="shared" ref="G427:H427" si="120">SUM(G425:G426)</f>
        <v>17115.63132</v>
      </c>
      <c r="H427" s="87">
        <f t="shared" si="120"/>
        <v>50595.33</v>
      </c>
      <c r="I427" s="87"/>
      <c r="J427" s="87"/>
      <c r="K427" s="87"/>
      <c r="L427" s="122"/>
      <c r="M427" s="122"/>
      <c r="N427" s="122"/>
      <c r="O427" s="122"/>
      <c r="P427" s="87">
        <v>0</v>
      </c>
      <c r="Q427" s="76"/>
      <c r="R427" s="77"/>
      <c r="S427" s="50"/>
    </row>
    <row r="428" spans="1:19" ht="25.5" x14ac:dyDescent="0.25">
      <c r="A428" s="16"/>
      <c r="B428" s="119"/>
      <c r="C428" s="136" t="s">
        <v>47</v>
      </c>
      <c r="D428" s="160">
        <v>2014</v>
      </c>
      <c r="E428" s="161">
        <v>1424.74</v>
      </c>
      <c r="F428" s="141">
        <v>3.18</v>
      </c>
      <c r="G428" s="142">
        <f>E428*F428</f>
        <v>4530.6732000000002</v>
      </c>
      <c r="H428" s="142">
        <v>31344.28</v>
      </c>
      <c r="I428" s="92"/>
      <c r="J428" s="92"/>
      <c r="K428" s="84"/>
      <c r="L428" s="119"/>
      <c r="M428" s="119"/>
      <c r="N428" s="119"/>
      <c r="O428" s="119"/>
      <c r="P428" s="84">
        <v>0</v>
      </c>
      <c r="Q428" s="38"/>
      <c r="R428" s="75"/>
      <c r="S428" s="51"/>
    </row>
    <row r="429" spans="1:19" ht="38.25" customHeight="1" x14ac:dyDescent="0.25">
      <c r="A429" s="18"/>
      <c r="B429" s="122"/>
      <c r="C429" s="132" t="s">
        <v>47</v>
      </c>
      <c r="D429" s="96" t="s">
        <v>24</v>
      </c>
      <c r="E429" s="89">
        <f>SUM(E427:E428)</f>
        <v>6807.0139999999992</v>
      </c>
      <c r="F429" s="89"/>
      <c r="G429" s="87">
        <f t="shared" ref="G429:H429" si="121">SUM(G427:G428)</f>
        <v>21646.304520000002</v>
      </c>
      <c r="H429" s="87">
        <f t="shared" si="121"/>
        <v>81939.61</v>
      </c>
      <c r="I429" s="87"/>
      <c r="J429" s="87"/>
      <c r="K429" s="87"/>
      <c r="L429" s="122"/>
      <c r="M429" s="122"/>
      <c r="N429" s="122"/>
      <c r="O429" s="122"/>
      <c r="P429" s="87">
        <v>0</v>
      </c>
      <c r="Q429" s="76"/>
      <c r="R429" s="77"/>
      <c r="S429" s="50"/>
    </row>
    <row r="430" spans="1:19" ht="25.5" x14ac:dyDescent="0.25">
      <c r="A430" s="16"/>
      <c r="B430" s="119"/>
      <c r="C430" s="136" t="s">
        <v>47</v>
      </c>
      <c r="D430" s="160">
        <v>2015</v>
      </c>
      <c r="E430" s="161">
        <v>1870.96</v>
      </c>
      <c r="F430" s="141">
        <v>3.37</v>
      </c>
      <c r="G430" s="142">
        <f>E430*F430</f>
        <v>6305.1352000000006</v>
      </c>
      <c r="H430" s="142">
        <v>52386.879999999997</v>
      </c>
      <c r="I430" s="92"/>
      <c r="J430" s="92"/>
      <c r="K430" s="84"/>
      <c r="L430" s="119"/>
      <c r="M430" s="119"/>
      <c r="N430" s="119"/>
      <c r="O430" s="119"/>
      <c r="P430" s="84">
        <v>0</v>
      </c>
      <c r="Q430" s="38"/>
      <c r="R430" s="75"/>
      <c r="S430" s="51"/>
    </row>
    <row r="431" spans="1:19" ht="39" customHeight="1" x14ac:dyDescent="0.25">
      <c r="A431" s="18"/>
      <c r="B431" s="122"/>
      <c r="C431" s="132" t="s">
        <v>47</v>
      </c>
      <c r="D431" s="96" t="s">
        <v>26</v>
      </c>
      <c r="E431" s="89">
        <f>SUM(E429:E430)</f>
        <v>8677.9739999999983</v>
      </c>
      <c r="F431" s="89"/>
      <c r="G431" s="87">
        <f t="shared" ref="G431:H431" si="122">SUM(G429:G430)</f>
        <v>27951.439720000002</v>
      </c>
      <c r="H431" s="87">
        <f t="shared" si="122"/>
        <v>134326.49</v>
      </c>
      <c r="I431" s="87"/>
      <c r="J431" s="87"/>
      <c r="K431" s="87"/>
      <c r="L431" s="122"/>
      <c r="M431" s="122"/>
      <c r="N431" s="122"/>
      <c r="O431" s="122"/>
      <c r="P431" s="87">
        <v>0</v>
      </c>
      <c r="Q431" s="76"/>
      <c r="R431" s="77"/>
      <c r="S431" s="50"/>
    </row>
    <row r="432" spans="1:19" ht="25.5" x14ac:dyDescent="0.25">
      <c r="A432" s="16"/>
      <c r="B432" s="119"/>
      <c r="C432" s="136" t="s">
        <v>47</v>
      </c>
      <c r="D432" s="99" t="s">
        <v>29</v>
      </c>
      <c r="E432" s="137">
        <v>470.26</v>
      </c>
      <c r="F432" s="141">
        <v>3.37</v>
      </c>
      <c r="G432" s="94">
        <f>E432*F432</f>
        <v>1584.7762</v>
      </c>
      <c r="H432" s="94">
        <v>16929.36</v>
      </c>
      <c r="I432" s="84"/>
      <c r="J432" s="84"/>
      <c r="K432" s="84"/>
      <c r="L432" s="119"/>
      <c r="M432" s="119"/>
      <c r="N432" s="119"/>
      <c r="O432" s="119"/>
      <c r="P432" s="84">
        <v>0</v>
      </c>
      <c r="Q432" s="38"/>
      <c r="R432" s="75"/>
      <c r="S432" s="51"/>
    </row>
    <row r="433" spans="1:19" ht="38.25" x14ac:dyDescent="0.25">
      <c r="A433" s="18"/>
      <c r="B433" s="122"/>
      <c r="C433" s="132" t="s">
        <v>47</v>
      </c>
      <c r="D433" s="100" t="s">
        <v>30</v>
      </c>
      <c r="E433" s="89">
        <f>SUM(E431:E432)</f>
        <v>9148.2339999999986</v>
      </c>
      <c r="F433" s="89"/>
      <c r="G433" s="87">
        <f t="shared" ref="G433:H433" si="123">SUM(G431:G432)</f>
        <v>29536.215920000002</v>
      </c>
      <c r="H433" s="87">
        <f t="shared" si="123"/>
        <v>151255.84999999998</v>
      </c>
      <c r="I433" s="87"/>
      <c r="J433" s="87"/>
      <c r="K433" s="87"/>
      <c r="L433" s="122"/>
      <c r="M433" s="122"/>
      <c r="N433" s="122"/>
      <c r="O433" s="122"/>
      <c r="P433" s="87">
        <v>0</v>
      </c>
      <c r="Q433" s="76"/>
      <c r="R433" s="77"/>
      <c r="S433" s="50"/>
    </row>
    <row r="434" spans="1:19" ht="25.5" x14ac:dyDescent="0.25">
      <c r="A434" s="16"/>
      <c r="B434" s="119"/>
      <c r="C434" s="136" t="s">
        <v>47</v>
      </c>
      <c r="D434" s="99" t="s">
        <v>31</v>
      </c>
      <c r="E434" s="137">
        <v>762.94</v>
      </c>
      <c r="F434" s="141">
        <v>3.37</v>
      </c>
      <c r="G434" s="94">
        <f>E434*F434</f>
        <v>2571.1078000000002</v>
      </c>
      <c r="H434" s="94">
        <v>27465.84</v>
      </c>
      <c r="I434" s="84"/>
      <c r="J434" s="84"/>
      <c r="K434" s="84"/>
      <c r="L434" s="119"/>
      <c r="M434" s="119"/>
      <c r="N434" s="119"/>
      <c r="O434" s="119"/>
      <c r="P434" s="84">
        <v>0</v>
      </c>
      <c r="Q434" s="38"/>
      <c r="R434" s="75"/>
      <c r="S434" s="51"/>
    </row>
    <row r="435" spans="1:19" ht="38.25" x14ac:dyDescent="0.25">
      <c r="A435" s="18"/>
      <c r="B435" s="122"/>
      <c r="C435" s="132" t="s">
        <v>47</v>
      </c>
      <c r="D435" s="100" t="s">
        <v>32</v>
      </c>
      <c r="E435" s="89">
        <f>SUM(E433:E434)</f>
        <v>9911.1739999999991</v>
      </c>
      <c r="F435" s="89"/>
      <c r="G435" s="87">
        <f t="shared" ref="G435:H435" si="124">SUM(G433:G434)</f>
        <v>32107.323720000004</v>
      </c>
      <c r="H435" s="87">
        <f t="shared" si="124"/>
        <v>178721.68999999997</v>
      </c>
      <c r="I435" s="87"/>
      <c r="J435" s="87"/>
      <c r="K435" s="87"/>
      <c r="L435" s="122"/>
      <c r="M435" s="122"/>
      <c r="N435" s="122"/>
      <c r="O435" s="122"/>
      <c r="P435" s="87">
        <v>0</v>
      </c>
      <c r="Q435" s="76"/>
      <c r="R435" s="77"/>
      <c r="S435" s="50"/>
    </row>
    <row r="436" spans="1:19" ht="25.5" x14ac:dyDescent="0.25">
      <c r="A436" s="16"/>
      <c r="B436" s="119"/>
      <c r="C436" s="136" t="s">
        <v>47</v>
      </c>
      <c r="D436" s="99" t="s">
        <v>33</v>
      </c>
      <c r="E436" s="137">
        <v>658.44</v>
      </c>
      <c r="F436" s="141">
        <v>3.37</v>
      </c>
      <c r="G436" s="94">
        <f>E436*F436</f>
        <v>2218.9428000000003</v>
      </c>
      <c r="H436" s="94">
        <v>23703.84</v>
      </c>
      <c r="I436" s="84"/>
      <c r="J436" s="84"/>
      <c r="K436" s="84"/>
      <c r="L436" s="119"/>
      <c r="M436" s="119"/>
      <c r="N436" s="119"/>
      <c r="O436" s="119"/>
      <c r="P436" s="84">
        <v>127866.65</v>
      </c>
      <c r="Q436" s="38"/>
      <c r="R436" s="75"/>
      <c r="S436" s="51"/>
    </row>
    <row r="437" spans="1:19" ht="38.25" x14ac:dyDescent="0.25">
      <c r="A437" s="18"/>
      <c r="B437" s="122"/>
      <c r="C437" s="132" t="s">
        <v>47</v>
      </c>
      <c r="D437" s="100" t="s">
        <v>35</v>
      </c>
      <c r="E437" s="89">
        <f>SUM(E435:E436)</f>
        <v>10569.614</v>
      </c>
      <c r="F437" s="89"/>
      <c r="G437" s="87">
        <f t="shared" ref="G437:H437" si="125">SUM(G435:G436)</f>
        <v>34326.266520000005</v>
      </c>
      <c r="H437" s="87">
        <f t="shared" si="125"/>
        <v>202425.52999999997</v>
      </c>
      <c r="I437" s="87"/>
      <c r="J437" s="87"/>
      <c r="K437" s="87"/>
      <c r="L437" s="122"/>
      <c r="M437" s="122"/>
      <c r="N437" s="122"/>
      <c r="O437" s="122"/>
      <c r="P437" s="87">
        <v>127866.65</v>
      </c>
      <c r="Q437" s="76"/>
      <c r="R437" s="77"/>
      <c r="S437" s="50"/>
    </row>
    <row r="438" spans="1:19" ht="25.5" x14ac:dyDescent="0.25">
      <c r="A438" s="16"/>
      <c r="B438" s="119"/>
      <c r="C438" s="136" t="s">
        <v>47</v>
      </c>
      <c r="D438" s="99" t="s">
        <v>34</v>
      </c>
      <c r="E438" s="137">
        <v>912.56</v>
      </c>
      <c r="F438" s="141">
        <v>3.37</v>
      </c>
      <c r="G438" s="94">
        <f>E438*F438</f>
        <v>3075.3271999999997</v>
      </c>
      <c r="H438" s="94">
        <v>32852.160000000003</v>
      </c>
      <c r="I438" s="84"/>
      <c r="J438" s="84"/>
      <c r="K438" s="84"/>
      <c r="L438" s="119"/>
      <c r="M438" s="119"/>
      <c r="N438" s="119"/>
      <c r="O438" s="119"/>
      <c r="P438" s="84">
        <v>0</v>
      </c>
      <c r="Q438" s="38"/>
      <c r="R438" s="75"/>
      <c r="S438" s="51"/>
    </row>
    <row r="439" spans="1:19" ht="38.25" x14ac:dyDescent="0.25">
      <c r="A439" s="18"/>
      <c r="B439" s="122"/>
      <c r="C439" s="132" t="s">
        <v>47</v>
      </c>
      <c r="D439" s="100" t="s">
        <v>36</v>
      </c>
      <c r="E439" s="89">
        <f>SUM(E437:E438)</f>
        <v>11482.173999999999</v>
      </c>
      <c r="F439" s="89"/>
      <c r="G439" s="87">
        <f t="shared" ref="G439:H439" si="126">SUM(G437:G438)</f>
        <v>37401.593720000004</v>
      </c>
      <c r="H439" s="87">
        <f t="shared" si="126"/>
        <v>235277.68999999997</v>
      </c>
      <c r="I439" s="87"/>
      <c r="J439" s="87"/>
      <c r="K439" s="87"/>
      <c r="L439" s="122"/>
      <c r="M439" s="122"/>
      <c r="N439" s="122"/>
      <c r="O439" s="122"/>
      <c r="P439" s="87">
        <v>127866.65</v>
      </c>
      <c r="Q439" s="76"/>
      <c r="R439" s="77"/>
      <c r="S439" s="50"/>
    </row>
    <row r="440" spans="1:19" s="2" customFormat="1" ht="25.5" x14ac:dyDescent="0.25">
      <c r="A440" s="20"/>
      <c r="B440" s="129"/>
      <c r="C440" s="131" t="s">
        <v>47</v>
      </c>
      <c r="D440" s="99" t="s">
        <v>57</v>
      </c>
      <c r="E440" s="93">
        <v>736.56</v>
      </c>
      <c r="F440" s="94">
        <v>3.37</v>
      </c>
      <c r="G440" s="94">
        <f>E440*F440</f>
        <v>2482.2071999999998</v>
      </c>
      <c r="H440" s="94">
        <v>29462.400000000001</v>
      </c>
      <c r="I440" s="94"/>
      <c r="J440" s="94"/>
      <c r="K440" s="94"/>
      <c r="L440" s="129"/>
      <c r="M440" s="129"/>
      <c r="N440" s="129"/>
      <c r="O440" s="129"/>
      <c r="P440" s="94">
        <v>0</v>
      </c>
      <c r="Q440" s="73"/>
      <c r="R440" s="74"/>
      <c r="S440" s="47"/>
    </row>
    <row r="441" spans="1:19" s="2" customFormat="1" ht="38.25" x14ac:dyDescent="0.25">
      <c r="A441" s="18"/>
      <c r="B441" s="122"/>
      <c r="C441" s="132" t="s">
        <v>47</v>
      </c>
      <c r="D441" s="100" t="s">
        <v>58</v>
      </c>
      <c r="E441" s="89">
        <f>SUM(E439:E440)</f>
        <v>12218.733999999999</v>
      </c>
      <c r="F441" s="89"/>
      <c r="G441" s="87">
        <f t="shared" ref="G441:H441" si="127">SUM(G439:G440)</f>
        <v>39883.800920000001</v>
      </c>
      <c r="H441" s="87">
        <f t="shared" si="127"/>
        <v>264740.08999999997</v>
      </c>
      <c r="I441" s="87"/>
      <c r="J441" s="87"/>
      <c r="K441" s="87"/>
      <c r="L441" s="122"/>
      <c r="M441" s="122"/>
      <c r="N441" s="122"/>
      <c r="O441" s="122"/>
      <c r="P441" s="87">
        <v>127866.65</v>
      </c>
      <c r="Q441" s="76"/>
      <c r="R441" s="77"/>
      <c r="S441" s="50"/>
    </row>
    <row r="442" spans="1:19" s="2" customFormat="1" ht="25.5" x14ac:dyDescent="0.25">
      <c r="A442" s="20"/>
      <c r="B442" s="129"/>
      <c r="C442" s="131" t="s">
        <v>47</v>
      </c>
      <c r="D442" s="99" t="s">
        <v>61</v>
      </c>
      <c r="E442" s="93">
        <v>1067.3399999999999</v>
      </c>
      <c r="F442" s="94">
        <v>3.37</v>
      </c>
      <c r="G442" s="94">
        <f>E442*F442</f>
        <v>3596.9357999999997</v>
      </c>
      <c r="H442" s="94">
        <v>42693.599999999999</v>
      </c>
      <c r="I442" s="94"/>
      <c r="J442" s="94"/>
      <c r="K442" s="94"/>
      <c r="L442" s="129"/>
      <c r="M442" s="129"/>
      <c r="N442" s="129"/>
      <c r="O442" s="129"/>
      <c r="P442" s="94">
        <v>96962.46</v>
      </c>
      <c r="Q442" s="73"/>
      <c r="R442" s="74"/>
      <c r="S442" s="47"/>
    </row>
    <row r="443" spans="1:19" s="2" customFormat="1" ht="38.25" customHeight="1" x14ac:dyDescent="0.25">
      <c r="A443" s="18"/>
      <c r="B443" s="122"/>
      <c r="C443" s="132" t="s">
        <v>47</v>
      </c>
      <c r="D443" s="100" t="s">
        <v>63</v>
      </c>
      <c r="E443" s="89">
        <f>SUM(E441:E442)</f>
        <v>13286.073999999999</v>
      </c>
      <c r="F443" s="89"/>
      <c r="G443" s="87">
        <f t="shared" ref="G443:H443" si="128">SUM(G441:G442)</f>
        <v>43480.736720000001</v>
      </c>
      <c r="H443" s="87">
        <f t="shared" si="128"/>
        <v>307433.68999999994</v>
      </c>
      <c r="I443" s="87"/>
      <c r="J443" s="87"/>
      <c r="K443" s="87"/>
      <c r="L443" s="122"/>
      <c r="M443" s="122"/>
      <c r="N443" s="122"/>
      <c r="O443" s="122"/>
      <c r="P443" s="87">
        <f>SUM(P441:P442)</f>
        <v>224829.11</v>
      </c>
      <c r="Q443" s="76"/>
      <c r="R443" s="77"/>
      <c r="S443" s="50"/>
    </row>
    <row r="444" spans="1:19" s="2" customFormat="1" ht="27" customHeight="1" x14ac:dyDescent="0.25">
      <c r="A444" s="20"/>
      <c r="B444" s="129"/>
      <c r="C444" s="131" t="s">
        <v>47</v>
      </c>
      <c r="D444" s="99" t="s">
        <v>64</v>
      </c>
      <c r="E444" s="93">
        <v>658.3</v>
      </c>
      <c r="F444" s="94">
        <v>3.37</v>
      </c>
      <c r="G444" s="94">
        <f>E444*F444</f>
        <v>2218.471</v>
      </c>
      <c r="H444" s="94">
        <v>26332</v>
      </c>
      <c r="I444" s="94"/>
      <c r="J444" s="94"/>
      <c r="K444" s="94"/>
      <c r="L444" s="129"/>
      <c r="M444" s="129"/>
      <c r="N444" s="129"/>
      <c r="O444" s="129"/>
      <c r="P444" s="94">
        <v>0</v>
      </c>
      <c r="Q444" s="73"/>
      <c r="R444" s="74"/>
      <c r="S444" s="47"/>
    </row>
    <row r="445" spans="1:19" s="2" customFormat="1" ht="38.25" customHeight="1" x14ac:dyDescent="0.25">
      <c r="A445" s="18"/>
      <c r="B445" s="122"/>
      <c r="C445" s="132" t="s">
        <v>47</v>
      </c>
      <c r="D445" s="100" t="s">
        <v>65</v>
      </c>
      <c r="E445" s="89">
        <f>SUM(E443:E444)</f>
        <v>13944.373999999998</v>
      </c>
      <c r="F445" s="89"/>
      <c r="G445" s="87">
        <f t="shared" ref="G445:H445" si="129">SUM(G443:G444)</f>
        <v>45699.207719999999</v>
      </c>
      <c r="H445" s="87">
        <f t="shared" si="129"/>
        <v>333765.68999999994</v>
      </c>
      <c r="I445" s="87"/>
      <c r="J445" s="87"/>
      <c r="K445" s="87"/>
      <c r="L445" s="122"/>
      <c r="M445" s="122"/>
      <c r="N445" s="122"/>
      <c r="O445" s="122"/>
      <c r="P445" s="87">
        <v>224829.11</v>
      </c>
      <c r="Q445" s="76"/>
      <c r="R445" s="77"/>
      <c r="S445" s="50"/>
    </row>
    <row r="446" spans="1:19" s="2" customFormat="1" ht="28.5" customHeight="1" x14ac:dyDescent="0.25">
      <c r="A446" s="20"/>
      <c r="B446" s="129"/>
      <c r="C446" s="136" t="s">
        <v>47</v>
      </c>
      <c r="D446" s="99" t="s">
        <v>70</v>
      </c>
      <c r="E446" s="93">
        <v>701.46</v>
      </c>
      <c r="F446" s="94">
        <v>3.37</v>
      </c>
      <c r="G446" s="94">
        <v>2363.9202</v>
      </c>
      <c r="H446" s="94">
        <v>28058.400000000001</v>
      </c>
      <c r="I446" s="94"/>
      <c r="J446" s="94"/>
      <c r="K446" s="94"/>
      <c r="L446" s="129"/>
      <c r="M446" s="129"/>
      <c r="N446" s="129"/>
      <c r="O446" s="129"/>
      <c r="P446" s="94">
        <v>0</v>
      </c>
      <c r="Q446" s="73"/>
      <c r="R446" s="74"/>
      <c r="S446" s="47"/>
    </row>
    <row r="447" spans="1:19" s="2" customFormat="1" ht="38.25" customHeight="1" x14ac:dyDescent="0.25">
      <c r="A447" s="18"/>
      <c r="B447" s="122"/>
      <c r="C447" s="132" t="s">
        <v>47</v>
      </c>
      <c r="D447" s="100" t="s">
        <v>69</v>
      </c>
      <c r="E447" s="89">
        <f>SUM(E445:E446)</f>
        <v>14645.833999999999</v>
      </c>
      <c r="F447" s="89"/>
      <c r="G447" s="87">
        <f t="shared" ref="G447" si="130">SUM(G445:G446)</f>
        <v>48063.127919999999</v>
      </c>
      <c r="H447" s="87">
        <f>SUM(H445:H446)</f>
        <v>361824.08999999997</v>
      </c>
      <c r="I447" s="87"/>
      <c r="J447" s="87"/>
      <c r="K447" s="87"/>
      <c r="L447" s="122"/>
      <c r="M447" s="122"/>
      <c r="N447" s="122"/>
      <c r="O447" s="122"/>
      <c r="P447" s="87">
        <v>224829.11</v>
      </c>
      <c r="Q447" s="76"/>
      <c r="R447" s="77"/>
      <c r="S447" s="50"/>
    </row>
    <row r="448" spans="1:19" s="2" customFormat="1" ht="28.5" customHeight="1" x14ac:dyDescent="0.25">
      <c r="A448" s="20"/>
      <c r="B448" s="129"/>
      <c r="C448" s="131" t="s">
        <v>47</v>
      </c>
      <c r="D448" s="99" t="s">
        <v>71</v>
      </c>
      <c r="E448" s="93">
        <v>940.72</v>
      </c>
      <c r="F448" s="94">
        <v>3.45</v>
      </c>
      <c r="G448" s="94">
        <f>E448*F448</f>
        <v>3245.4840000000004</v>
      </c>
      <c r="H448" s="94">
        <f>E448*45</f>
        <v>42332.4</v>
      </c>
      <c r="I448" s="94"/>
      <c r="J448" s="94"/>
      <c r="K448" s="94"/>
      <c r="L448" s="129"/>
      <c r="M448" s="129"/>
      <c r="N448" s="129"/>
      <c r="O448" s="129"/>
      <c r="P448" s="94">
        <v>0</v>
      </c>
      <c r="Q448" s="73"/>
      <c r="R448" s="74"/>
      <c r="S448" s="47"/>
    </row>
    <row r="449" spans="1:19" s="2" customFormat="1" ht="38.25" customHeight="1" x14ac:dyDescent="0.25">
      <c r="A449" s="18"/>
      <c r="B449" s="122"/>
      <c r="C449" s="132" t="s">
        <v>47</v>
      </c>
      <c r="D449" s="100" t="s">
        <v>72</v>
      </c>
      <c r="E449" s="89">
        <f>SUM(E447:E448)</f>
        <v>15586.553999999998</v>
      </c>
      <c r="F449" s="89"/>
      <c r="G449" s="87">
        <f t="shared" ref="G449:H449" si="131">SUM(G447:G448)</f>
        <v>51308.611919999996</v>
      </c>
      <c r="H449" s="87">
        <f t="shared" si="131"/>
        <v>404156.49</v>
      </c>
      <c r="I449" s="87"/>
      <c r="J449" s="87"/>
      <c r="K449" s="87"/>
      <c r="L449" s="122"/>
      <c r="M449" s="122"/>
      <c r="N449" s="122"/>
      <c r="O449" s="122"/>
      <c r="P449" s="87">
        <v>224829.11</v>
      </c>
      <c r="Q449" s="76"/>
      <c r="R449" s="77"/>
      <c r="S449" s="50"/>
    </row>
    <row r="450" spans="1:19" s="2" customFormat="1" ht="33" customHeight="1" x14ac:dyDescent="0.25">
      <c r="A450" s="20"/>
      <c r="B450" s="129"/>
      <c r="C450" s="131" t="s">
        <v>47</v>
      </c>
      <c r="D450" s="99" t="s">
        <v>73</v>
      </c>
      <c r="E450" s="93">
        <v>1316.32</v>
      </c>
      <c r="F450" s="94">
        <v>3.45</v>
      </c>
      <c r="G450" s="94">
        <f>E450*F450</f>
        <v>4541.3040000000001</v>
      </c>
      <c r="H450" s="94">
        <f>E450*45</f>
        <v>59234.399999999994</v>
      </c>
      <c r="I450" s="94"/>
      <c r="J450" s="94"/>
      <c r="K450" s="94"/>
      <c r="L450" s="129"/>
      <c r="M450" s="129"/>
      <c r="N450" s="129"/>
      <c r="O450" s="129"/>
      <c r="P450" s="94">
        <v>0</v>
      </c>
      <c r="Q450" s="73"/>
      <c r="R450" s="74"/>
      <c r="S450" s="47"/>
    </row>
    <row r="451" spans="1:19" s="2" customFormat="1" ht="43.5" customHeight="1" x14ac:dyDescent="0.25">
      <c r="A451" s="18"/>
      <c r="B451" s="122"/>
      <c r="C451" s="132" t="s">
        <v>47</v>
      </c>
      <c r="D451" s="100" t="s">
        <v>74</v>
      </c>
      <c r="E451" s="89">
        <f>SUM(E449:E450)</f>
        <v>16902.874</v>
      </c>
      <c r="F451" s="89"/>
      <c r="G451" s="87">
        <f t="shared" ref="G451:H451" si="132">SUM(G449:G450)</f>
        <v>55849.915919999999</v>
      </c>
      <c r="H451" s="87">
        <f t="shared" si="132"/>
        <v>463390.89</v>
      </c>
      <c r="I451" s="87"/>
      <c r="J451" s="87"/>
      <c r="K451" s="87"/>
      <c r="L451" s="122"/>
      <c r="M451" s="122"/>
      <c r="N451" s="122"/>
      <c r="O451" s="122"/>
      <c r="P451" s="87">
        <v>224829.11</v>
      </c>
      <c r="Q451" s="76"/>
      <c r="R451" s="77"/>
      <c r="S451" s="50"/>
    </row>
    <row r="452" spans="1:19" s="2" customFormat="1" ht="28.5" customHeight="1" x14ac:dyDescent="0.25">
      <c r="A452" s="20"/>
      <c r="B452" s="129"/>
      <c r="C452" s="131" t="s">
        <v>47</v>
      </c>
      <c r="D452" s="99" t="s">
        <v>76</v>
      </c>
      <c r="E452" s="93">
        <v>1068.56</v>
      </c>
      <c r="F452" s="94">
        <v>3.45</v>
      </c>
      <c r="G452" s="94">
        <f>E452*F452</f>
        <v>3686.5320000000002</v>
      </c>
      <c r="H452" s="94">
        <f>E452*45</f>
        <v>48085.2</v>
      </c>
      <c r="I452" s="94"/>
      <c r="J452" s="94"/>
      <c r="K452" s="94"/>
      <c r="L452" s="129"/>
      <c r="M452" s="129"/>
      <c r="N452" s="129"/>
      <c r="O452" s="129"/>
      <c r="P452" s="94">
        <v>0</v>
      </c>
      <c r="Q452" s="73"/>
      <c r="R452" s="74"/>
      <c r="S452" s="47"/>
    </row>
    <row r="453" spans="1:19" s="2" customFormat="1" ht="43.5" customHeight="1" x14ac:dyDescent="0.25">
      <c r="A453" s="18"/>
      <c r="B453" s="122"/>
      <c r="C453" s="132" t="s">
        <v>47</v>
      </c>
      <c r="D453" s="100" t="s">
        <v>77</v>
      </c>
      <c r="E453" s="89">
        <f>SUM(E451:E452)</f>
        <v>17971.434000000001</v>
      </c>
      <c r="F453" s="89"/>
      <c r="G453" s="87">
        <f t="shared" ref="G453:H453" si="133">SUM(G451:G452)</f>
        <v>59536.447919999999</v>
      </c>
      <c r="H453" s="87">
        <f t="shared" si="133"/>
        <v>511476.09</v>
      </c>
      <c r="I453" s="87"/>
      <c r="J453" s="87"/>
      <c r="K453" s="87"/>
      <c r="L453" s="122"/>
      <c r="M453" s="122"/>
      <c r="N453" s="122"/>
      <c r="O453" s="122"/>
      <c r="P453" s="87">
        <v>224829.11</v>
      </c>
      <c r="Q453" s="76"/>
      <c r="R453" s="77"/>
      <c r="S453" s="50"/>
    </row>
    <row r="454" spans="1:19" s="2" customFormat="1" ht="27.75" customHeight="1" x14ac:dyDescent="0.25">
      <c r="A454" s="20"/>
      <c r="B454" s="129"/>
      <c r="C454" s="131" t="s">
        <v>47</v>
      </c>
      <c r="D454" s="99" t="s">
        <v>78</v>
      </c>
      <c r="E454" s="93">
        <v>353.24</v>
      </c>
      <c r="F454" s="94">
        <v>3.45</v>
      </c>
      <c r="G454" s="94">
        <f>E454*F454</f>
        <v>1218.6780000000001</v>
      </c>
      <c r="H454" s="94">
        <f>E454*45</f>
        <v>15895.800000000001</v>
      </c>
      <c r="I454" s="94"/>
      <c r="J454" s="94"/>
      <c r="K454" s="94"/>
      <c r="L454" s="129"/>
      <c r="M454" s="129"/>
      <c r="N454" s="129"/>
      <c r="O454" s="129"/>
      <c r="P454" s="94">
        <v>61660.01</v>
      </c>
      <c r="Q454" s="73"/>
      <c r="R454" s="74"/>
      <c r="S454" s="47"/>
    </row>
    <row r="455" spans="1:19" s="2" customFormat="1" ht="43.5" customHeight="1" x14ac:dyDescent="0.25">
      <c r="A455" s="18"/>
      <c r="B455" s="122"/>
      <c r="C455" s="132" t="s">
        <v>47</v>
      </c>
      <c r="D455" s="100" t="s">
        <v>79</v>
      </c>
      <c r="E455" s="89">
        <f>SUM(E453:E454)</f>
        <v>18324.674000000003</v>
      </c>
      <c r="F455" s="89"/>
      <c r="G455" s="87">
        <f t="shared" ref="G455:H455" si="134">SUM(G453:G454)</f>
        <v>60755.125919999999</v>
      </c>
      <c r="H455" s="87">
        <f t="shared" si="134"/>
        <v>527371.89</v>
      </c>
      <c r="I455" s="87"/>
      <c r="J455" s="87"/>
      <c r="K455" s="87"/>
      <c r="L455" s="122"/>
      <c r="M455" s="122"/>
      <c r="N455" s="122"/>
      <c r="O455" s="122"/>
      <c r="P455" s="87">
        <f>P453+P454</f>
        <v>286489.12</v>
      </c>
      <c r="Q455" s="76"/>
      <c r="R455" s="77"/>
      <c r="S455" s="50"/>
    </row>
    <row r="456" spans="1:19" s="2" customFormat="1" ht="28.5" customHeight="1" x14ac:dyDescent="0.25">
      <c r="A456" s="20"/>
      <c r="B456" s="129"/>
      <c r="C456" s="131" t="s">
        <v>47</v>
      </c>
      <c r="D456" s="99" t="s">
        <v>82</v>
      </c>
      <c r="E456" s="93">
        <v>212.16</v>
      </c>
      <c r="F456" s="94">
        <v>3.45</v>
      </c>
      <c r="G456" s="94">
        <f>E456*F456</f>
        <v>731.952</v>
      </c>
      <c r="H456" s="94">
        <f>E456*57</f>
        <v>12093.119999999999</v>
      </c>
      <c r="I456" s="94"/>
      <c r="J456" s="94"/>
      <c r="K456" s="94"/>
      <c r="L456" s="129"/>
      <c r="M456" s="129"/>
      <c r="N456" s="129"/>
      <c r="O456" s="129"/>
      <c r="P456" s="94">
        <v>231466.97</v>
      </c>
      <c r="Q456" s="73"/>
      <c r="R456" s="74"/>
      <c r="S456" s="47"/>
    </row>
    <row r="457" spans="1:19" s="2" customFormat="1" ht="43.5" customHeight="1" x14ac:dyDescent="0.25">
      <c r="A457" s="18"/>
      <c r="B457" s="122"/>
      <c r="C457" s="132" t="s">
        <v>47</v>
      </c>
      <c r="D457" s="100" t="s">
        <v>81</v>
      </c>
      <c r="E457" s="89">
        <f>SUM(E455:E456)</f>
        <v>18536.834000000003</v>
      </c>
      <c r="F457" s="89"/>
      <c r="G457" s="87">
        <f t="shared" ref="G457:P457" si="135">SUM(G455:G456)</f>
        <v>61487.077919999996</v>
      </c>
      <c r="H457" s="87">
        <f t="shared" si="135"/>
        <v>539465.01</v>
      </c>
      <c r="I457" s="87"/>
      <c r="J457" s="87"/>
      <c r="K457" s="87"/>
      <c r="L457" s="87"/>
      <c r="M457" s="87"/>
      <c r="N457" s="87"/>
      <c r="O457" s="87"/>
      <c r="P457" s="87">
        <f t="shared" si="135"/>
        <v>517956.08999999997</v>
      </c>
      <c r="Q457" s="76"/>
      <c r="R457" s="77"/>
      <c r="S457" s="50"/>
    </row>
    <row r="458" spans="1:19" s="2" customFormat="1" ht="26.25" customHeight="1" x14ac:dyDescent="0.25">
      <c r="A458" s="20"/>
      <c r="B458" s="129"/>
      <c r="C458" s="131" t="s">
        <v>47</v>
      </c>
      <c r="D458" s="99" t="s">
        <v>84</v>
      </c>
      <c r="E458" s="93">
        <v>789.56</v>
      </c>
      <c r="F458" s="94">
        <v>3.45</v>
      </c>
      <c r="G458" s="94">
        <f>E458*F458</f>
        <v>2723.982</v>
      </c>
      <c r="H458" s="94">
        <f>E458*57</f>
        <v>45004.92</v>
      </c>
      <c r="I458" s="94"/>
      <c r="J458" s="94"/>
      <c r="K458" s="94"/>
      <c r="L458" s="94"/>
      <c r="M458" s="94"/>
      <c r="N458" s="94"/>
      <c r="O458" s="94"/>
      <c r="P458" s="94">
        <v>0</v>
      </c>
      <c r="Q458" s="73"/>
      <c r="R458" s="74"/>
      <c r="S458" s="47"/>
    </row>
    <row r="459" spans="1:19" s="2" customFormat="1" ht="43.5" customHeight="1" x14ac:dyDescent="0.25">
      <c r="A459" s="18"/>
      <c r="B459" s="122"/>
      <c r="C459" s="132" t="s">
        <v>47</v>
      </c>
      <c r="D459" s="100" t="s">
        <v>86</v>
      </c>
      <c r="E459" s="89">
        <f>SUM(E457:E458)</f>
        <v>19326.394000000004</v>
      </c>
      <c r="F459" s="89"/>
      <c r="G459" s="87">
        <f t="shared" ref="G459:P459" si="136">SUM(G457:G458)</f>
        <v>64211.05992</v>
      </c>
      <c r="H459" s="87">
        <f t="shared" si="136"/>
        <v>584469.93000000005</v>
      </c>
      <c r="I459" s="87"/>
      <c r="J459" s="87"/>
      <c r="K459" s="87"/>
      <c r="L459" s="87"/>
      <c r="M459" s="87"/>
      <c r="N459" s="87"/>
      <c r="O459" s="87"/>
      <c r="P459" s="87">
        <f t="shared" si="136"/>
        <v>517956.08999999997</v>
      </c>
      <c r="Q459" s="76"/>
      <c r="R459" s="77"/>
      <c r="S459" s="50"/>
    </row>
    <row r="460" spans="1:19" s="2" customFormat="1" ht="30.75" customHeight="1" x14ac:dyDescent="0.25">
      <c r="A460" s="20"/>
      <c r="B460" s="129"/>
      <c r="C460" s="131" t="s">
        <v>47</v>
      </c>
      <c r="D460" s="99" t="s">
        <v>89</v>
      </c>
      <c r="E460" s="93">
        <v>1452.34</v>
      </c>
      <c r="F460" s="94">
        <v>3.45</v>
      </c>
      <c r="G460" s="94">
        <f>E460*F460</f>
        <v>5010.5730000000003</v>
      </c>
      <c r="H460" s="94">
        <f>E460*57</f>
        <v>82783.37999999999</v>
      </c>
      <c r="I460" s="94"/>
      <c r="J460" s="94"/>
      <c r="K460" s="94"/>
      <c r="L460" s="94"/>
      <c r="M460" s="94"/>
      <c r="N460" s="94"/>
      <c r="O460" s="94"/>
      <c r="P460" s="94">
        <v>0</v>
      </c>
      <c r="Q460" s="73"/>
      <c r="R460" s="74"/>
      <c r="S460" s="47"/>
    </row>
    <row r="461" spans="1:19" s="2" customFormat="1" ht="43.5" customHeight="1" x14ac:dyDescent="0.25">
      <c r="A461" s="18"/>
      <c r="B461" s="122"/>
      <c r="C461" s="132" t="s">
        <v>47</v>
      </c>
      <c r="D461" s="100" t="s">
        <v>90</v>
      </c>
      <c r="E461" s="89">
        <f>SUM(E459:E460)</f>
        <v>20778.734000000004</v>
      </c>
      <c r="F461" s="89"/>
      <c r="G461" s="87">
        <f t="shared" ref="G461:P461" si="137">SUM(G459:G460)</f>
        <v>69221.632920000004</v>
      </c>
      <c r="H461" s="87">
        <f t="shared" si="137"/>
        <v>667253.31000000006</v>
      </c>
      <c r="I461" s="87"/>
      <c r="J461" s="87"/>
      <c r="K461" s="87"/>
      <c r="L461" s="87"/>
      <c r="M461" s="87"/>
      <c r="N461" s="87"/>
      <c r="O461" s="87"/>
      <c r="P461" s="87">
        <f t="shared" si="137"/>
        <v>517956.08999999997</v>
      </c>
      <c r="Q461" s="76"/>
      <c r="R461" s="77"/>
      <c r="S461" s="50"/>
    </row>
    <row r="462" spans="1:19" s="2" customFormat="1" ht="28.5" customHeight="1" x14ac:dyDescent="0.25">
      <c r="A462" s="20"/>
      <c r="B462" s="129"/>
      <c r="C462" s="131" t="s">
        <v>47</v>
      </c>
      <c r="D462" s="99" t="s">
        <v>93</v>
      </c>
      <c r="E462" s="93">
        <v>1201.4000000000001</v>
      </c>
      <c r="F462" s="94">
        <v>3.45</v>
      </c>
      <c r="G462" s="94">
        <f>E462*F462</f>
        <v>4144.8300000000008</v>
      </c>
      <c r="H462" s="94">
        <f>E462*57</f>
        <v>68479.8</v>
      </c>
      <c r="I462" s="94"/>
      <c r="J462" s="94"/>
      <c r="K462" s="94"/>
      <c r="L462" s="94"/>
      <c r="M462" s="94"/>
      <c r="N462" s="94"/>
      <c r="O462" s="94"/>
      <c r="P462" s="94">
        <v>0</v>
      </c>
      <c r="Q462" s="73"/>
      <c r="R462" s="74"/>
      <c r="S462" s="47"/>
    </row>
    <row r="463" spans="1:19" s="2" customFormat="1" ht="42" customHeight="1" x14ac:dyDescent="0.25">
      <c r="A463" s="18"/>
      <c r="B463" s="122"/>
      <c r="C463" s="132" t="s">
        <v>47</v>
      </c>
      <c r="D463" s="100" t="s">
        <v>94</v>
      </c>
      <c r="E463" s="89">
        <f>SUM(E461:E462)</f>
        <v>21980.134000000005</v>
      </c>
      <c r="F463" s="89"/>
      <c r="G463" s="87">
        <f t="shared" ref="G463:H463" si="138">SUM(G461:G462)</f>
        <v>73366.462920000005</v>
      </c>
      <c r="H463" s="87">
        <f t="shared" si="138"/>
        <v>735733.1100000001</v>
      </c>
      <c r="I463" s="87"/>
      <c r="J463" s="87"/>
      <c r="K463" s="87"/>
      <c r="L463" s="87"/>
      <c r="M463" s="87"/>
      <c r="N463" s="87"/>
      <c r="O463" s="87"/>
      <c r="P463" s="87">
        <v>517956.09</v>
      </c>
      <c r="Q463" s="76"/>
      <c r="R463" s="77"/>
      <c r="S463" s="50"/>
    </row>
    <row r="464" spans="1:19" s="2" customFormat="1" ht="95.25" customHeight="1" x14ac:dyDescent="0.25">
      <c r="A464" s="20"/>
      <c r="B464" s="129"/>
      <c r="C464" s="131" t="s">
        <v>47</v>
      </c>
      <c r="D464" s="99" t="s">
        <v>96</v>
      </c>
      <c r="E464" s="93">
        <v>1012.64</v>
      </c>
      <c r="F464" s="94">
        <v>5.6</v>
      </c>
      <c r="G464" s="94">
        <f>E464*F464</f>
        <v>5670.7839999999997</v>
      </c>
      <c r="H464" s="94">
        <v>92967.44</v>
      </c>
      <c r="I464" s="94"/>
      <c r="J464" s="94"/>
      <c r="K464" s="94"/>
      <c r="L464" s="94"/>
      <c r="M464" s="94"/>
      <c r="N464" s="94"/>
      <c r="O464" s="94"/>
      <c r="P464" s="220" t="s">
        <v>114</v>
      </c>
      <c r="Q464" s="73"/>
      <c r="R464" s="74"/>
      <c r="S464" s="217" t="s">
        <v>102</v>
      </c>
    </row>
    <row r="465" spans="1:19" s="2" customFormat="1" ht="38.25" customHeight="1" x14ac:dyDescent="0.25">
      <c r="A465" s="18"/>
      <c r="B465" s="122"/>
      <c r="C465" s="132" t="s">
        <v>47</v>
      </c>
      <c r="D465" s="100" t="s">
        <v>97</v>
      </c>
      <c r="E465" s="89">
        <f>SUM(E463:E464)</f>
        <v>22992.774000000005</v>
      </c>
      <c r="F465" s="89"/>
      <c r="G465" s="87">
        <f t="shared" ref="G465:H465" si="139">SUM(G463:G464)</f>
        <v>79037.246920000005</v>
      </c>
      <c r="H465" s="87">
        <f t="shared" si="139"/>
        <v>828700.55</v>
      </c>
      <c r="I465" s="87"/>
      <c r="J465" s="87"/>
      <c r="K465" s="87"/>
      <c r="L465" s="87"/>
      <c r="M465" s="87"/>
      <c r="N465" s="87"/>
      <c r="O465" s="87"/>
      <c r="P465" s="221" t="s">
        <v>115</v>
      </c>
      <c r="Q465" s="76"/>
      <c r="R465" s="77"/>
      <c r="S465" s="50"/>
    </row>
    <row r="466" spans="1:19" s="2" customFormat="1" ht="38.25" customHeight="1" x14ac:dyDescent="0.25">
      <c r="A466" s="20"/>
      <c r="B466" s="129"/>
      <c r="C466" s="131" t="s">
        <v>47</v>
      </c>
      <c r="D466" s="99" t="s">
        <v>119</v>
      </c>
      <c r="E466" s="93">
        <v>1156.43</v>
      </c>
      <c r="F466" s="94">
        <v>5.6</v>
      </c>
      <c r="G466" s="94">
        <f>E466*F466</f>
        <v>6476.0079999999998</v>
      </c>
      <c r="H466" s="94">
        <f>E466*69</f>
        <v>79793.67</v>
      </c>
      <c r="I466" s="94"/>
      <c r="J466" s="94"/>
      <c r="K466" s="94"/>
      <c r="L466" s="94"/>
      <c r="M466" s="94"/>
      <c r="N466" s="94"/>
      <c r="O466" s="94"/>
      <c r="P466" s="220" t="s">
        <v>124</v>
      </c>
      <c r="Q466" s="73"/>
      <c r="R466" s="74"/>
      <c r="S466" s="47"/>
    </row>
    <row r="467" spans="1:19" s="2" customFormat="1" ht="38.25" customHeight="1" x14ac:dyDescent="0.25">
      <c r="A467" s="18"/>
      <c r="B467" s="122"/>
      <c r="C467" s="132" t="s">
        <v>47</v>
      </c>
      <c r="D467" s="100" t="s">
        <v>120</v>
      </c>
      <c r="E467" s="89">
        <f>SUM(E465:E466)</f>
        <v>24149.204000000005</v>
      </c>
      <c r="F467" s="89"/>
      <c r="G467" s="87">
        <f t="shared" ref="G467:H467" si="140">SUM(G465:G466)</f>
        <v>85513.254920000007</v>
      </c>
      <c r="H467" s="87">
        <f t="shared" si="140"/>
        <v>908494.22000000009</v>
      </c>
      <c r="I467" s="87"/>
      <c r="J467" s="87"/>
      <c r="K467" s="87"/>
      <c r="L467" s="87"/>
      <c r="M467" s="87"/>
      <c r="N467" s="87"/>
      <c r="O467" s="87"/>
      <c r="P467" s="221" t="s">
        <v>151</v>
      </c>
      <c r="Q467" s="76"/>
      <c r="R467" s="77"/>
      <c r="S467" s="50"/>
    </row>
    <row r="468" spans="1:19" s="2" customFormat="1" ht="38.25" customHeight="1" x14ac:dyDescent="0.25">
      <c r="A468" s="20"/>
      <c r="B468" s="129"/>
      <c r="C468" s="131" t="s">
        <v>47</v>
      </c>
      <c r="D468" s="99" t="s">
        <v>139</v>
      </c>
      <c r="E468" s="93">
        <v>1354.34</v>
      </c>
      <c r="F468" s="94">
        <v>5.6</v>
      </c>
      <c r="G468" s="94">
        <f>SUM(E468*F468)</f>
        <v>7584.3039999999992</v>
      </c>
      <c r="H468" s="94">
        <f>SUM(E468*69)</f>
        <v>93449.459999999992</v>
      </c>
      <c r="I468" s="94"/>
      <c r="J468" s="94"/>
      <c r="K468" s="94"/>
      <c r="L468" s="94"/>
      <c r="M468" s="94"/>
      <c r="N468" s="94"/>
      <c r="O468" s="94"/>
      <c r="P468" s="220" t="s">
        <v>159</v>
      </c>
      <c r="Q468" s="73"/>
      <c r="R468" s="74"/>
      <c r="S468" s="47"/>
    </row>
    <row r="469" spans="1:19" s="2" customFormat="1" ht="38.25" customHeight="1" x14ac:dyDescent="0.25">
      <c r="A469" s="18"/>
      <c r="B469" s="122"/>
      <c r="C469" s="132" t="s">
        <v>47</v>
      </c>
      <c r="D469" s="100" t="s">
        <v>140</v>
      </c>
      <c r="E469" s="89">
        <f>SUM(E467:E468)</f>
        <v>25503.544000000005</v>
      </c>
      <c r="F469" s="89"/>
      <c r="G469" s="87">
        <f t="shared" ref="G469:H469" si="141">SUM(G467:G468)</f>
        <v>93097.55892000001</v>
      </c>
      <c r="H469" s="87">
        <f t="shared" si="141"/>
        <v>1001943.68</v>
      </c>
      <c r="I469" s="87"/>
      <c r="J469" s="87"/>
      <c r="K469" s="87"/>
      <c r="L469" s="87"/>
      <c r="M469" s="87"/>
      <c r="N469" s="87"/>
      <c r="O469" s="87"/>
      <c r="P469" s="221" t="s">
        <v>150</v>
      </c>
      <c r="Q469" s="76"/>
      <c r="R469" s="77"/>
      <c r="S469" s="50"/>
    </row>
    <row r="470" spans="1:19" s="2" customFormat="1" ht="38.25" customHeight="1" x14ac:dyDescent="0.25">
      <c r="A470" s="20"/>
      <c r="B470" s="129"/>
      <c r="C470" s="131" t="s">
        <v>47</v>
      </c>
      <c r="D470" s="99" t="s">
        <v>144</v>
      </c>
      <c r="E470" s="93">
        <v>1194.48</v>
      </c>
      <c r="F470" s="94">
        <v>5.6</v>
      </c>
      <c r="G470" s="94">
        <f>E470*F470</f>
        <v>6689.0879999999997</v>
      </c>
      <c r="H470" s="94">
        <f>SUM(E470*69)</f>
        <v>82419.12</v>
      </c>
      <c r="I470" s="180"/>
      <c r="K470" s="94"/>
      <c r="L470" s="94"/>
      <c r="M470" s="94"/>
      <c r="N470" s="94"/>
      <c r="O470" s="94"/>
      <c r="P470" s="220" t="s">
        <v>152</v>
      </c>
      <c r="Q470" s="73"/>
      <c r="R470" s="74"/>
      <c r="S470" s="47"/>
    </row>
    <row r="471" spans="1:19" s="2" customFormat="1" ht="38.25" customHeight="1" x14ac:dyDescent="0.25">
      <c r="A471" s="18"/>
      <c r="B471" s="122"/>
      <c r="C471" s="132" t="s">
        <v>47</v>
      </c>
      <c r="D471" s="100" t="s">
        <v>145</v>
      </c>
      <c r="E471" s="89">
        <f>SUM(E469:E470)</f>
        <v>26698.024000000005</v>
      </c>
      <c r="F471" s="89"/>
      <c r="G471" s="87">
        <f>SUM(G469:G470)</f>
        <v>99786.646920000014</v>
      </c>
      <c r="H471" s="87">
        <f>SUM(H469:H470)</f>
        <v>1084362.8</v>
      </c>
      <c r="I471" s="87"/>
      <c r="J471" s="87"/>
      <c r="K471" s="87"/>
      <c r="L471" s="87"/>
      <c r="M471" s="87"/>
      <c r="N471" s="87"/>
      <c r="O471" s="87"/>
      <c r="P471" s="221" t="s">
        <v>153</v>
      </c>
      <c r="Q471" s="76"/>
      <c r="R471" s="77"/>
      <c r="S471" s="50"/>
    </row>
    <row r="472" spans="1:19" s="2" customFormat="1" ht="38.25" customHeight="1" x14ac:dyDescent="0.25">
      <c r="A472" s="20"/>
      <c r="B472" s="129"/>
      <c r="C472" s="131" t="s">
        <v>47</v>
      </c>
      <c r="D472" s="99" t="s">
        <v>165</v>
      </c>
      <c r="E472" s="93">
        <v>1127.06</v>
      </c>
      <c r="F472" s="94">
        <v>5.6</v>
      </c>
      <c r="G472" s="94">
        <f>E472*F472</f>
        <v>6311.5359999999991</v>
      </c>
      <c r="H472" s="94">
        <f>E472*82</f>
        <v>92418.92</v>
      </c>
      <c r="I472" s="94"/>
      <c r="J472" s="94"/>
      <c r="K472" s="94"/>
      <c r="L472" s="94"/>
      <c r="M472" s="94"/>
      <c r="N472" s="94"/>
      <c r="O472" s="94"/>
      <c r="P472" s="220" t="s">
        <v>180</v>
      </c>
      <c r="Q472" s="73"/>
      <c r="R472" s="74"/>
      <c r="S472" s="47"/>
    </row>
    <row r="473" spans="1:19" s="2" customFormat="1" ht="38.25" customHeight="1" x14ac:dyDescent="0.25">
      <c r="A473" s="18"/>
      <c r="B473" s="122"/>
      <c r="C473" s="132" t="s">
        <v>47</v>
      </c>
      <c r="D473" s="100" t="s">
        <v>167</v>
      </c>
      <c r="E473" s="89">
        <f>SUM(E471:E472)</f>
        <v>27825.084000000006</v>
      </c>
      <c r="F473" s="89"/>
      <c r="G473" s="87">
        <f t="shared" ref="G473:H473" si="142">SUM(G471:G472)</f>
        <v>106098.18292000001</v>
      </c>
      <c r="H473" s="87">
        <f t="shared" si="142"/>
        <v>1176781.72</v>
      </c>
      <c r="I473" s="87"/>
      <c r="J473" s="87"/>
      <c r="K473" s="87"/>
      <c r="L473" s="87"/>
      <c r="M473" s="87"/>
      <c r="N473" s="87"/>
      <c r="O473" s="87"/>
      <c r="P473" s="221" t="s">
        <v>181</v>
      </c>
      <c r="Q473" s="76"/>
      <c r="R473" s="77"/>
      <c r="S473" s="50"/>
    </row>
    <row r="474" spans="1:19" s="2" customFormat="1" ht="38.25" customHeight="1" x14ac:dyDescent="0.25">
      <c r="A474" s="20"/>
      <c r="B474" s="129"/>
      <c r="C474" s="131" t="s">
        <v>47</v>
      </c>
      <c r="D474" s="99" t="s">
        <v>166</v>
      </c>
      <c r="E474" s="93">
        <v>1391.97</v>
      </c>
      <c r="F474" s="94">
        <v>5.6</v>
      </c>
      <c r="G474" s="94">
        <f>458.94*5.6</f>
        <v>2570.0639999999999</v>
      </c>
      <c r="H474" s="94">
        <f>458.94*82</f>
        <v>37633.08</v>
      </c>
      <c r="I474" s="94">
        <f>933.03*5.6</f>
        <v>5224.9679999999998</v>
      </c>
      <c r="J474" s="94">
        <f>933.03*82</f>
        <v>76508.459999999992</v>
      </c>
      <c r="K474" s="94"/>
      <c r="L474" s="94"/>
      <c r="M474" s="94"/>
      <c r="N474" s="94"/>
      <c r="O474" s="94"/>
      <c r="P474" s="220" t="s">
        <v>189</v>
      </c>
      <c r="Q474" s="73"/>
      <c r="R474" s="74"/>
      <c r="S474" s="47"/>
    </row>
    <row r="475" spans="1:19" s="2" customFormat="1" ht="38.25" customHeight="1" x14ac:dyDescent="0.25">
      <c r="A475" s="18"/>
      <c r="B475" s="122"/>
      <c r="C475" s="132" t="s">
        <v>47</v>
      </c>
      <c r="D475" s="100" t="s">
        <v>168</v>
      </c>
      <c r="E475" s="89">
        <f>SUM(E473:E474)</f>
        <v>29217.054000000007</v>
      </c>
      <c r="F475" s="89"/>
      <c r="G475" s="87">
        <f t="shared" ref="G475:J475" si="143">SUM(G473:G474)</f>
        <v>108668.24692000001</v>
      </c>
      <c r="H475" s="87">
        <f t="shared" si="143"/>
        <v>1214414.8</v>
      </c>
      <c r="I475" s="87">
        <f t="shared" si="143"/>
        <v>5224.9679999999998</v>
      </c>
      <c r="J475" s="87">
        <f t="shared" si="143"/>
        <v>76508.459999999992</v>
      </c>
      <c r="K475" s="87"/>
      <c r="L475" s="87"/>
      <c r="M475" s="87"/>
      <c r="N475" s="87"/>
      <c r="O475" s="87"/>
      <c r="P475" s="221" t="s">
        <v>190</v>
      </c>
      <c r="Q475" s="76"/>
      <c r="R475" s="77"/>
      <c r="S475" s="50"/>
    </row>
    <row r="476" spans="1:19" s="236" customFormat="1" ht="38.25" customHeight="1" x14ac:dyDescent="0.25">
      <c r="A476" s="230"/>
      <c r="B476" s="237"/>
      <c r="C476" s="131" t="s">
        <v>47</v>
      </c>
      <c r="D476" s="99" t="s">
        <v>195</v>
      </c>
      <c r="E476" s="231">
        <v>1490.38</v>
      </c>
      <c r="F476" s="94">
        <v>5.6</v>
      </c>
      <c r="G476" s="94">
        <f>933.03*5.6</f>
        <v>5224.9679999999998</v>
      </c>
      <c r="H476" s="94">
        <f>933.03*82</f>
        <v>76508.459999999992</v>
      </c>
      <c r="I476" s="232">
        <f>E476*5.6</f>
        <v>8346.1280000000006</v>
      </c>
      <c r="J476" s="232">
        <f>E476*82</f>
        <v>122211.16</v>
      </c>
      <c r="K476" s="232"/>
      <c r="L476" s="232"/>
      <c r="M476" s="232"/>
      <c r="N476" s="232"/>
      <c r="O476" s="232"/>
      <c r="P476" s="233">
        <v>0</v>
      </c>
      <c r="Q476" s="247"/>
      <c r="R476" s="248"/>
      <c r="S476" s="235"/>
    </row>
    <row r="477" spans="1:19" s="2" customFormat="1" ht="38.25" customHeight="1" x14ac:dyDescent="0.25">
      <c r="A477" s="18"/>
      <c r="B477" s="122"/>
      <c r="C477" s="132" t="s">
        <v>47</v>
      </c>
      <c r="D477" s="100" t="s">
        <v>196</v>
      </c>
      <c r="E477" s="89">
        <f>SUM(E475:E476)</f>
        <v>30707.434000000008</v>
      </c>
      <c r="F477" s="89"/>
      <c r="G477" s="87">
        <f>SUM(G475:G476)</f>
        <v>113893.21492</v>
      </c>
      <c r="H477" s="87">
        <f>SUM(H475:H476)</f>
        <v>1290923.26</v>
      </c>
      <c r="I477" s="87">
        <v>8346.1299999999992</v>
      </c>
      <c r="J477" s="87">
        <v>122211.16</v>
      </c>
      <c r="K477" s="87"/>
      <c r="L477" s="87"/>
      <c r="M477" s="87"/>
      <c r="N477" s="87"/>
      <c r="O477" s="87"/>
      <c r="P477" s="221" t="s">
        <v>190</v>
      </c>
      <c r="Q477" s="76"/>
      <c r="R477" s="77"/>
      <c r="S477" s="50"/>
    </row>
    <row r="478" spans="1:19" s="236" customFormat="1" ht="38.25" customHeight="1" x14ac:dyDescent="0.25">
      <c r="A478" s="230"/>
      <c r="B478" s="237"/>
      <c r="C478" s="131" t="s">
        <v>47</v>
      </c>
      <c r="D478" s="99" t="s">
        <v>201</v>
      </c>
      <c r="E478" s="231">
        <v>1353.9780000000001</v>
      </c>
      <c r="F478" s="94">
        <v>5.6</v>
      </c>
      <c r="G478" s="232">
        <f>1967.64*5.6</f>
        <v>11018.784</v>
      </c>
      <c r="H478" s="232">
        <f>1967.64*82</f>
        <v>161346.48000000001</v>
      </c>
      <c r="I478" s="232">
        <f>876.718*5.6</f>
        <v>4909.6207999999997</v>
      </c>
      <c r="J478" s="232">
        <f>876.718*82</f>
        <v>71890.876000000004</v>
      </c>
      <c r="K478" s="232"/>
      <c r="L478" s="232"/>
      <c r="M478" s="232"/>
      <c r="N478" s="232"/>
      <c r="O478" s="232"/>
      <c r="P478" s="233">
        <v>0</v>
      </c>
      <c r="Q478" s="247"/>
      <c r="R478" s="248"/>
      <c r="S478" s="235"/>
    </row>
    <row r="479" spans="1:19" s="2" customFormat="1" ht="38.25" customHeight="1" x14ac:dyDescent="0.25">
      <c r="A479" s="18"/>
      <c r="B479" s="122"/>
      <c r="C479" s="132" t="s">
        <v>47</v>
      </c>
      <c r="D479" s="100" t="s">
        <v>202</v>
      </c>
      <c r="E479" s="89">
        <f>SUM(E477:E478)</f>
        <v>32061.412000000008</v>
      </c>
      <c r="F479" s="89"/>
      <c r="G479" s="87">
        <f>SUM(G477:G478)</f>
        <v>124911.99892</v>
      </c>
      <c r="H479" s="87">
        <f>SUM(H477:H478)</f>
        <v>1452269.74</v>
      </c>
      <c r="I479" s="87">
        <v>4909.62</v>
      </c>
      <c r="J479" s="87">
        <v>71890.880000000005</v>
      </c>
      <c r="K479" s="87"/>
      <c r="L479" s="87"/>
      <c r="M479" s="87"/>
      <c r="N479" s="87"/>
      <c r="O479" s="87"/>
      <c r="P479" s="221" t="s">
        <v>190</v>
      </c>
      <c r="Q479" s="76"/>
      <c r="R479" s="77"/>
      <c r="S479" s="50"/>
    </row>
    <row r="480" spans="1:19" s="236" customFormat="1" ht="38.25" customHeight="1" x14ac:dyDescent="0.25">
      <c r="A480" s="230"/>
      <c r="B480" s="237"/>
      <c r="C480" s="131" t="s">
        <v>47</v>
      </c>
      <c r="D480" s="99" t="s">
        <v>208</v>
      </c>
      <c r="E480" s="231">
        <v>1162.8800000000001</v>
      </c>
      <c r="F480" s="94">
        <v>5.6</v>
      </c>
      <c r="G480" s="232"/>
      <c r="H480" s="232"/>
      <c r="I480" s="232">
        <f>1162.88*5.6</f>
        <v>6512.1280000000006</v>
      </c>
      <c r="J480" s="232">
        <f>1162.88*95</f>
        <v>110473.60000000001</v>
      </c>
      <c r="K480" s="232"/>
      <c r="L480" s="232"/>
      <c r="M480" s="232"/>
      <c r="N480" s="232"/>
      <c r="O480" s="232"/>
      <c r="P480" s="233"/>
      <c r="Q480" s="247"/>
      <c r="R480" s="248"/>
      <c r="S480" s="235"/>
    </row>
    <row r="481" spans="1:19" s="2" customFormat="1" ht="38.25" customHeight="1" x14ac:dyDescent="0.25">
      <c r="A481" s="18"/>
      <c r="B481" s="122"/>
      <c r="C481" s="132" t="s">
        <v>47</v>
      </c>
      <c r="D481" s="100" t="s">
        <v>209</v>
      </c>
      <c r="E481" s="89">
        <f>SUM(E479:E480)</f>
        <v>33224.292000000009</v>
      </c>
      <c r="F481" s="89"/>
      <c r="G481" s="87">
        <f>SUM(G479:G480)</f>
        <v>124911.99892</v>
      </c>
      <c r="H481" s="87">
        <f>SUM(H479:H480)</f>
        <v>1452269.74</v>
      </c>
      <c r="I481" s="87">
        <f>SUM(I479:I480)</f>
        <v>11421.748</v>
      </c>
      <c r="J481" s="87">
        <f>SUM(J479:J480)</f>
        <v>182364.48</v>
      </c>
      <c r="K481" s="87"/>
      <c r="L481" s="87"/>
      <c r="M481" s="87"/>
      <c r="N481" s="87"/>
      <c r="O481" s="87"/>
      <c r="P481" s="221" t="s">
        <v>190</v>
      </c>
      <c r="Q481" s="76"/>
      <c r="R481" s="77"/>
      <c r="S481" s="50"/>
    </row>
    <row r="482" spans="1:19" s="236" customFormat="1" ht="38.25" customHeight="1" x14ac:dyDescent="0.25">
      <c r="A482" s="230"/>
      <c r="B482" s="237"/>
      <c r="C482" s="131" t="s">
        <v>47</v>
      </c>
      <c r="D482" s="99" t="s">
        <v>215</v>
      </c>
      <c r="E482" s="231">
        <v>1451.35</v>
      </c>
      <c r="F482" s="94">
        <v>5.6</v>
      </c>
      <c r="G482" s="232">
        <f>1586.418*5.6</f>
        <v>8883.9407999999985</v>
      </c>
      <c r="H482" s="232">
        <f>71890.88+709.7*95</f>
        <v>139312.38</v>
      </c>
      <c r="I482" s="232">
        <f>1904.53*5.6</f>
        <v>10665.367999999999</v>
      </c>
      <c r="J482" s="232">
        <f>1904.53*95</f>
        <v>180930.35</v>
      </c>
      <c r="K482" s="232"/>
      <c r="L482" s="232"/>
      <c r="M482" s="232"/>
      <c r="N482" s="232"/>
      <c r="O482" s="232"/>
      <c r="P482" s="233"/>
      <c r="Q482" s="247"/>
      <c r="R482" s="248"/>
      <c r="S482" s="235"/>
    </row>
    <row r="483" spans="1:19" s="2" customFormat="1" ht="38.25" customHeight="1" x14ac:dyDescent="0.25">
      <c r="A483" s="18"/>
      <c r="B483" s="122"/>
      <c r="C483" s="132" t="s">
        <v>47</v>
      </c>
      <c r="D483" s="100" t="s">
        <v>216</v>
      </c>
      <c r="E483" s="89">
        <f>SUM(E481:E482)</f>
        <v>34675.642000000007</v>
      </c>
      <c r="F483" s="89"/>
      <c r="G483" s="87">
        <f>SUM(G481:G482)</f>
        <v>133795.93971999999</v>
      </c>
      <c r="H483" s="87">
        <f>SUM(H481:H482)</f>
        <v>1591582.12</v>
      </c>
      <c r="I483" s="87">
        <v>10665.37</v>
      </c>
      <c r="J483" s="87">
        <v>180930.35</v>
      </c>
      <c r="K483" s="87"/>
      <c r="L483" s="87"/>
      <c r="M483" s="87"/>
      <c r="N483" s="87"/>
      <c r="O483" s="87"/>
      <c r="P483" s="221" t="s">
        <v>190</v>
      </c>
      <c r="Q483" s="76"/>
      <c r="R483" s="77"/>
      <c r="S483" s="50"/>
    </row>
    <row r="484" spans="1:19" s="2" customFormat="1" ht="38.25" customHeight="1" x14ac:dyDescent="0.25">
      <c r="A484" s="20"/>
      <c r="B484" s="129"/>
      <c r="C484" s="131" t="s">
        <v>47</v>
      </c>
      <c r="D484" s="99" t="s">
        <v>218</v>
      </c>
      <c r="E484" s="93">
        <v>1501.8</v>
      </c>
      <c r="F484" s="94">
        <v>5.6</v>
      </c>
      <c r="G484" s="94"/>
      <c r="H484" s="94"/>
      <c r="I484" s="94">
        <f>1501.8*5.6+(1996.62+1977.7)</f>
        <v>12384.4</v>
      </c>
      <c r="J484" s="94">
        <f>1501.8*95+(33871.3+33550.2)</f>
        <v>210092.5</v>
      </c>
      <c r="K484" s="94"/>
      <c r="L484" s="94"/>
      <c r="M484" s="94"/>
      <c r="N484" s="94"/>
      <c r="O484" s="94"/>
      <c r="P484" s="220"/>
      <c r="Q484" s="73"/>
      <c r="R484" s="74"/>
      <c r="S484" s="47"/>
    </row>
    <row r="485" spans="1:19" s="2" customFormat="1" ht="38.25" customHeight="1" x14ac:dyDescent="0.25">
      <c r="A485" s="20"/>
      <c r="B485" s="129"/>
      <c r="C485" s="131"/>
      <c r="D485" s="99" t="s">
        <v>220</v>
      </c>
      <c r="E485" s="93">
        <v>5.82</v>
      </c>
      <c r="F485" s="93"/>
      <c r="G485" s="94"/>
      <c r="H485" s="94"/>
      <c r="I485" s="94"/>
      <c r="J485" s="94"/>
      <c r="K485" s="94"/>
      <c r="L485" s="94"/>
      <c r="M485" s="94"/>
      <c r="N485" s="94"/>
      <c r="O485" s="94"/>
      <c r="P485" s="220"/>
      <c r="Q485" s="73"/>
      <c r="R485" s="74"/>
      <c r="S485" s="47"/>
    </row>
    <row r="486" spans="1:19" s="2" customFormat="1" ht="91.5" customHeight="1" x14ac:dyDescent="0.25">
      <c r="A486" s="18"/>
      <c r="B486" s="122"/>
      <c r="C486" s="132" t="s">
        <v>47</v>
      </c>
      <c r="D486" s="100" t="s">
        <v>219</v>
      </c>
      <c r="E486" s="89">
        <f>SUM(E483:E484:E485)</f>
        <v>36183.26200000001</v>
      </c>
      <c r="F486" s="89"/>
      <c r="G486" s="87">
        <f>133795.94-(1996.62+1977.7)</f>
        <v>129821.62</v>
      </c>
      <c r="H486" s="87">
        <f>1591582.12-(33871.3+33550.2)</f>
        <v>1524160.62</v>
      </c>
      <c r="I486" s="87">
        <f>SUM(I483:I484)</f>
        <v>23049.77</v>
      </c>
      <c r="J486" s="87">
        <f>SUM(J483:J484)</f>
        <v>391022.85</v>
      </c>
      <c r="K486" s="87"/>
      <c r="L486" s="254" t="s">
        <v>226</v>
      </c>
      <c r="M486" s="87"/>
      <c r="N486" s="87"/>
      <c r="O486" s="87"/>
      <c r="P486" s="221" t="s">
        <v>190</v>
      </c>
      <c r="Q486" s="76"/>
      <c r="R486" s="77"/>
      <c r="S486" s="50"/>
    </row>
    <row r="487" spans="1:19" s="236" customFormat="1" ht="91.5" customHeight="1" x14ac:dyDescent="0.25">
      <c r="A487" s="230"/>
      <c r="B487" s="237"/>
      <c r="C487" s="131" t="s">
        <v>47</v>
      </c>
      <c r="D487" s="99" t="s">
        <v>227</v>
      </c>
      <c r="E487" s="231">
        <v>1303.7</v>
      </c>
      <c r="F487" s="94">
        <v>5.6</v>
      </c>
      <c r="G487" s="232">
        <f>23049.77+944.1*5.6-(1996.62+1977.7)</f>
        <v>24362.41</v>
      </c>
      <c r="H487" s="232">
        <f>391022.85+944.1*95-(33871.3+33550.2)-15319.11</f>
        <v>397971.74</v>
      </c>
      <c r="I487" s="232">
        <f>359.6*5.6+1996.62+1977.7</f>
        <v>5988.08</v>
      </c>
      <c r="J487" s="232">
        <f>359.6*95+33871.3+33550.2+15319.11</f>
        <v>116902.61</v>
      </c>
      <c r="K487" s="232"/>
      <c r="L487" s="255" t="s">
        <v>230</v>
      </c>
      <c r="M487" s="232"/>
      <c r="N487" s="232"/>
      <c r="O487" s="232"/>
      <c r="P487" s="233" t="s">
        <v>233</v>
      </c>
      <c r="Q487" s="247"/>
      <c r="R487" s="248"/>
      <c r="S487" s="235"/>
    </row>
    <row r="488" spans="1:19" s="2" customFormat="1" ht="45.75" customHeight="1" x14ac:dyDescent="0.25">
      <c r="A488" s="18"/>
      <c r="B488" s="122"/>
      <c r="C488" s="132" t="s">
        <v>47</v>
      </c>
      <c r="D488" s="100" t="s">
        <v>228</v>
      </c>
      <c r="E488" s="89">
        <f>SUM(E486:E487)</f>
        <v>37486.962000000007</v>
      </c>
      <c r="F488" s="89"/>
      <c r="G488" s="87">
        <f>SUM(G486:G487)</f>
        <v>154184.03</v>
      </c>
      <c r="H488" s="87">
        <f>SUM(H486:H487)</f>
        <v>1922132.36</v>
      </c>
      <c r="I488" s="87">
        <f>359.6*5.6</f>
        <v>2013.76</v>
      </c>
      <c r="J488" s="87">
        <f>359.6*95</f>
        <v>34162</v>
      </c>
      <c r="K488" s="87"/>
      <c r="L488" s="254"/>
      <c r="M488" s="87"/>
      <c r="N488" s="87"/>
      <c r="O488" s="87"/>
      <c r="P488" s="221" t="s">
        <v>239</v>
      </c>
      <c r="Q488" s="76"/>
      <c r="R488" s="77"/>
      <c r="S488" s="50"/>
    </row>
    <row r="489" spans="1:19" s="2" customFormat="1" ht="44.25" customHeight="1" x14ac:dyDescent="0.25">
      <c r="A489" s="18"/>
      <c r="B489" s="122"/>
      <c r="C489" s="132" t="s">
        <v>47</v>
      </c>
      <c r="D489" s="100" t="s">
        <v>253</v>
      </c>
      <c r="E489" s="89">
        <v>48729.811999999998</v>
      </c>
      <c r="F489" s="89"/>
      <c r="G489" s="87">
        <v>257581.84</v>
      </c>
      <c r="H489" s="87">
        <v>3536863.61</v>
      </c>
      <c r="I489" s="87">
        <v>241008.2</v>
      </c>
      <c r="J489" s="87">
        <v>3107105.72</v>
      </c>
      <c r="K489" s="87"/>
      <c r="L489" s="254"/>
      <c r="M489" s="87"/>
      <c r="N489" s="87"/>
      <c r="O489" s="87"/>
      <c r="P489" s="221" t="s">
        <v>254</v>
      </c>
      <c r="Q489" s="76"/>
      <c r="R489" s="77"/>
      <c r="S489" s="50"/>
    </row>
    <row r="490" spans="1:19" x14ac:dyDescent="0.25">
      <c r="A490" s="23"/>
      <c r="B490" s="23"/>
      <c r="C490" s="23"/>
      <c r="D490" s="36"/>
      <c r="E490" s="5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72"/>
      <c r="S490" s="55"/>
    </row>
    <row r="491" spans="1:19" ht="26.25" customHeight="1" x14ac:dyDescent="0.25">
      <c r="A491" s="16"/>
      <c r="B491" s="115" t="s">
        <v>40</v>
      </c>
      <c r="C491" s="136" t="s">
        <v>48</v>
      </c>
      <c r="D491" s="160">
        <v>2011</v>
      </c>
      <c r="E491" s="161">
        <v>1743.89</v>
      </c>
      <c r="F491" s="141">
        <v>3.18</v>
      </c>
      <c r="G491" s="142">
        <f>E491*F491</f>
        <v>5545.570200000001</v>
      </c>
      <c r="H491" s="142">
        <v>5231.67</v>
      </c>
      <c r="I491" s="92"/>
      <c r="J491" s="92"/>
      <c r="K491" s="84"/>
      <c r="L491" s="119"/>
      <c r="M491" s="119"/>
      <c r="N491" s="119"/>
      <c r="O491" s="119"/>
      <c r="P491" s="84">
        <v>0</v>
      </c>
      <c r="Q491" s="38"/>
      <c r="R491" s="75"/>
      <c r="S491" s="51"/>
    </row>
    <row r="492" spans="1:19" x14ac:dyDescent="0.25">
      <c r="A492" s="16"/>
      <c r="B492" s="119"/>
      <c r="C492" s="136" t="s">
        <v>48</v>
      </c>
      <c r="D492" s="160">
        <v>2012</v>
      </c>
      <c r="E492" s="161">
        <v>3006.1</v>
      </c>
      <c r="F492" s="141">
        <v>3.18</v>
      </c>
      <c r="G492" s="142">
        <f>E492*F492</f>
        <v>9559.398000000001</v>
      </c>
      <c r="H492" s="142">
        <v>27054.9</v>
      </c>
      <c r="I492" s="92"/>
      <c r="J492" s="92"/>
      <c r="K492" s="84"/>
      <c r="L492" s="119"/>
      <c r="M492" s="119"/>
      <c r="N492" s="119"/>
      <c r="O492" s="119"/>
      <c r="P492" s="84">
        <v>0</v>
      </c>
      <c r="Q492" s="38"/>
      <c r="R492" s="75"/>
      <c r="S492" s="51"/>
    </row>
    <row r="493" spans="1:19" ht="40.5" customHeight="1" x14ac:dyDescent="0.25">
      <c r="A493" s="18"/>
      <c r="B493" s="122"/>
      <c r="C493" s="132" t="s">
        <v>48</v>
      </c>
      <c r="D493" s="96" t="s">
        <v>25</v>
      </c>
      <c r="E493" s="89">
        <f>SUM(E491:E492)</f>
        <v>4749.99</v>
      </c>
      <c r="F493" s="89"/>
      <c r="G493" s="87">
        <f t="shared" ref="G493:H493" si="144">SUM(G491:G492)</f>
        <v>15104.968200000003</v>
      </c>
      <c r="H493" s="87">
        <f t="shared" si="144"/>
        <v>32286.57</v>
      </c>
      <c r="I493" s="87"/>
      <c r="J493" s="87"/>
      <c r="K493" s="87"/>
      <c r="L493" s="122"/>
      <c r="M493" s="122"/>
      <c r="N493" s="122"/>
      <c r="O493" s="122"/>
      <c r="P493" s="87">
        <v>0</v>
      </c>
      <c r="Q493" s="76"/>
      <c r="R493" s="77"/>
      <c r="S493" s="50"/>
    </row>
    <row r="494" spans="1:19" x14ac:dyDescent="0.25">
      <c r="A494" s="16"/>
      <c r="B494" s="119"/>
      <c r="C494" s="136" t="s">
        <v>48</v>
      </c>
      <c r="D494" s="160">
        <v>2013</v>
      </c>
      <c r="E494" s="161">
        <v>3371.7</v>
      </c>
      <c r="F494" s="141">
        <v>3.18</v>
      </c>
      <c r="G494" s="94">
        <f>E494*F494</f>
        <v>10722.005999999999</v>
      </c>
      <c r="H494" s="94">
        <v>50575.5</v>
      </c>
      <c r="I494" s="84"/>
      <c r="J494" s="84"/>
      <c r="K494" s="84"/>
      <c r="L494" s="119"/>
      <c r="M494" s="119"/>
      <c r="N494" s="119"/>
      <c r="O494" s="119"/>
      <c r="P494" s="84">
        <v>0</v>
      </c>
      <c r="Q494" s="38"/>
      <c r="R494" s="75"/>
      <c r="S494" s="51"/>
    </row>
    <row r="495" spans="1:19" ht="39" customHeight="1" x14ac:dyDescent="0.25">
      <c r="A495" s="18"/>
      <c r="B495" s="122"/>
      <c r="C495" s="132" t="s">
        <v>48</v>
      </c>
      <c r="D495" s="96" t="s">
        <v>38</v>
      </c>
      <c r="E495" s="89">
        <f>SUM(E493:E494)</f>
        <v>8121.69</v>
      </c>
      <c r="F495" s="89"/>
      <c r="G495" s="87">
        <f t="shared" ref="G495:H495" si="145">SUM(G493:G494)</f>
        <v>25826.974200000004</v>
      </c>
      <c r="H495" s="87">
        <f t="shared" si="145"/>
        <v>82862.070000000007</v>
      </c>
      <c r="I495" s="87"/>
      <c r="J495" s="87"/>
      <c r="K495" s="87"/>
      <c r="L495" s="122"/>
      <c r="M495" s="122"/>
      <c r="N495" s="122"/>
      <c r="O495" s="122"/>
      <c r="P495" s="87">
        <v>0</v>
      </c>
      <c r="Q495" s="76"/>
      <c r="R495" s="77"/>
      <c r="S495" s="50"/>
    </row>
    <row r="496" spans="1:19" x14ac:dyDescent="0.25">
      <c r="A496" s="16"/>
      <c r="B496" s="119"/>
      <c r="C496" s="136" t="s">
        <v>48</v>
      </c>
      <c r="D496" s="160">
        <v>2014</v>
      </c>
      <c r="E496" s="161">
        <v>3593.92</v>
      </c>
      <c r="F496" s="141">
        <v>3.18</v>
      </c>
      <c r="G496" s="94">
        <f>E496*F496</f>
        <v>11428.6656</v>
      </c>
      <c r="H496" s="94">
        <v>79066.240000000005</v>
      </c>
      <c r="I496" s="84"/>
      <c r="J496" s="84"/>
      <c r="K496" s="84"/>
      <c r="L496" s="119"/>
      <c r="M496" s="119"/>
      <c r="N496" s="119"/>
      <c r="O496" s="119"/>
      <c r="P496" s="84">
        <v>0</v>
      </c>
      <c r="Q496" s="38"/>
      <c r="R496" s="75"/>
      <c r="S496" s="51"/>
    </row>
    <row r="497" spans="1:23" ht="39" customHeight="1" x14ac:dyDescent="0.25">
      <c r="A497" s="18"/>
      <c r="B497" s="122"/>
      <c r="C497" s="132" t="s">
        <v>48</v>
      </c>
      <c r="D497" s="96" t="s">
        <v>24</v>
      </c>
      <c r="E497" s="89">
        <f>SUM(E495:E496)</f>
        <v>11715.61</v>
      </c>
      <c r="F497" s="89"/>
      <c r="G497" s="87">
        <f t="shared" ref="G497:H497" si="146">SUM(G495:G496)</f>
        <v>37255.639800000004</v>
      </c>
      <c r="H497" s="87">
        <f t="shared" si="146"/>
        <v>161928.31</v>
      </c>
      <c r="I497" s="87"/>
      <c r="J497" s="87"/>
      <c r="K497" s="87"/>
      <c r="L497" s="122"/>
      <c r="M497" s="122"/>
      <c r="N497" s="122"/>
      <c r="O497" s="122"/>
      <c r="P497" s="87">
        <v>0</v>
      </c>
      <c r="Q497" s="76"/>
      <c r="R497" s="77"/>
      <c r="S497" s="50"/>
    </row>
    <row r="498" spans="1:23" x14ac:dyDescent="0.25">
      <c r="A498" s="16"/>
      <c r="B498" s="119"/>
      <c r="C498" s="136" t="s">
        <v>48</v>
      </c>
      <c r="D498" s="160">
        <v>2015</v>
      </c>
      <c r="E498" s="161">
        <v>3972.66</v>
      </c>
      <c r="F498" s="141">
        <v>3.37</v>
      </c>
      <c r="G498" s="94">
        <f>E498*F498</f>
        <v>13387.8642</v>
      </c>
      <c r="H498" s="94">
        <v>111234.48</v>
      </c>
      <c r="I498" s="84"/>
      <c r="J498" s="84"/>
      <c r="K498" s="84"/>
      <c r="L498" s="119"/>
      <c r="M498" s="119"/>
      <c r="N498" s="119"/>
      <c r="O498" s="119"/>
      <c r="P498" s="84">
        <v>0</v>
      </c>
      <c r="Q498" s="38"/>
      <c r="R498" s="75"/>
      <c r="S498" s="51"/>
    </row>
    <row r="499" spans="1:23" ht="41.25" customHeight="1" x14ac:dyDescent="0.25">
      <c r="A499" s="18"/>
      <c r="B499" s="122"/>
      <c r="C499" s="132" t="s">
        <v>48</v>
      </c>
      <c r="D499" s="96" t="s">
        <v>26</v>
      </c>
      <c r="E499" s="89">
        <f>SUM(E497:E498)</f>
        <v>15688.27</v>
      </c>
      <c r="F499" s="89"/>
      <c r="G499" s="87">
        <f t="shared" ref="G499:H499" si="147">SUM(G497:G498)</f>
        <v>50643.504000000001</v>
      </c>
      <c r="H499" s="87">
        <f t="shared" si="147"/>
        <v>273162.78999999998</v>
      </c>
      <c r="I499" s="87"/>
      <c r="J499" s="87"/>
      <c r="K499" s="87"/>
      <c r="L499" s="122"/>
      <c r="M499" s="122"/>
      <c r="N499" s="122"/>
      <c r="O499" s="122"/>
      <c r="P499" s="87">
        <v>0</v>
      </c>
      <c r="Q499" s="76"/>
      <c r="R499" s="77"/>
      <c r="S499" s="50"/>
    </row>
    <row r="500" spans="1:23" x14ac:dyDescent="0.25">
      <c r="A500" s="16"/>
      <c r="B500" s="119"/>
      <c r="C500" s="136" t="s">
        <v>48</v>
      </c>
      <c r="D500" s="99" t="s">
        <v>29</v>
      </c>
      <c r="E500" s="137">
        <v>800</v>
      </c>
      <c r="F500" s="141">
        <v>3.37</v>
      </c>
      <c r="G500" s="94">
        <f>E500*F500</f>
        <v>2696</v>
      </c>
      <c r="H500" s="94">
        <v>28800</v>
      </c>
      <c r="I500" s="84"/>
      <c r="J500" s="84"/>
      <c r="K500" s="84"/>
      <c r="L500" s="119"/>
      <c r="M500" s="119"/>
      <c r="N500" s="119"/>
      <c r="O500" s="119"/>
      <c r="P500" s="84">
        <v>0</v>
      </c>
      <c r="Q500" s="38"/>
      <c r="R500" s="75"/>
      <c r="S500" s="51"/>
    </row>
    <row r="501" spans="1:23" ht="38.25" x14ac:dyDescent="0.25">
      <c r="A501" s="18"/>
      <c r="B501" s="122"/>
      <c r="C501" s="132" t="s">
        <v>48</v>
      </c>
      <c r="D501" s="100" t="s">
        <v>30</v>
      </c>
      <c r="E501" s="89">
        <f>SUM(E499:E500)</f>
        <v>16488.27</v>
      </c>
      <c r="F501" s="89"/>
      <c r="G501" s="87">
        <f t="shared" ref="G501:H501" si="148">SUM(G499:G500)</f>
        <v>53339.504000000001</v>
      </c>
      <c r="H501" s="87">
        <f t="shared" si="148"/>
        <v>301962.78999999998</v>
      </c>
      <c r="I501" s="87"/>
      <c r="J501" s="87"/>
      <c r="K501" s="87"/>
      <c r="L501" s="122"/>
      <c r="M501" s="122"/>
      <c r="N501" s="122"/>
      <c r="O501" s="122"/>
      <c r="P501" s="87">
        <v>0</v>
      </c>
      <c r="Q501" s="76"/>
      <c r="R501" s="77"/>
      <c r="S501" s="50"/>
      <c r="W501" s="2"/>
    </row>
    <row r="502" spans="1:23" x14ac:dyDescent="0.25">
      <c r="A502" s="16"/>
      <c r="B502" s="119"/>
      <c r="C502" s="136" t="s">
        <v>48</v>
      </c>
      <c r="D502" s="99" t="s">
        <v>31</v>
      </c>
      <c r="E502" s="137">
        <v>755.76</v>
      </c>
      <c r="F502" s="141">
        <v>3.37</v>
      </c>
      <c r="G502" s="94">
        <f>E502*F502</f>
        <v>2546.9112</v>
      </c>
      <c r="H502" s="94">
        <v>27207.360000000001</v>
      </c>
      <c r="I502" s="84"/>
      <c r="J502" s="84"/>
      <c r="K502" s="84"/>
      <c r="L502" s="119"/>
      <c r="M502" s="119"/>
      <c r="N502" s="119"/>
      <c r="O502" s="119"/>
      <c r="P502" s="84">
        <v>0</v>
      </c>
      <c r="Q502" s="38"/>
      <c r="R502" s="75"/>
      <c r="S502" s="51"/>
    </row>
    <row r="503" spans="1:23" ht="38.25" x14ac:dyDescent="0.25">
      <c r="A503" s="16"/>
      <c r="B503" s="119"/>
      <c r="C503" s="136" t="s">
        <v>54</v>
      </c>
      <c r="D503" s="99"/>
      <c r="E503" s="137">
        <v>27.38</v>
      </c>
      <c r="F503" s="84">
        <v>0</v>
      </c>
      <c r="G503" s="94">
        <v>0</v>
      </c>
      <c r="H503" s="94">
        <v>0</v>
      </c>
      <c r="I503" s="84"/>
      <c r="J503" s="84"/>
      <c r="K503" s="84"/>
      <c r="L503" s="119"/>
      <c r="M503" s="119"/>
      <c r="N503" s="119"/>
      <c r="O503" s="119"/>
      <c r="P503" s="84"/>
      <c r="Q503" s="38"/>
      <c r="R503" s="75"/>
      <c r="S503" s="51"/>
    </row>
    <row r="504" spans="1:23" ht="39" customHeight="1" x14ac:dyDescent="0.25">
      <c r="A504" s="18"/>
      <c r="B504" s="122"/>
      <c r="C504" s="132" t="s">
        <v>48</v>
      </c>
      <c r="D504" s="100" t="s">
        <v>32</v>
      </c>
      <c r="E504" s="89">
        <f>SUM(E501:E503)</f>
        <v>17271.41</v>
      </c>
      <c r="F504" s="89"/>
      <c r="G504" s="87">
        <f t="shared" ref="G504:H504" si="149">SUM(G501:G503)</f>
        <v>55886.415200000003</v>
      </c>
      <c r="H504" s="87">
        <f t="shared" si="149"/>
        <v>329170.14999999997</v>
      </c>
      <c r="I504" s="87"/>
      <c r="J504" s="87"/>
      <c r="K504" s="87"/>
      <c r="L504" s="122"/>
      <c r="M504" s="122"/>
      <c r="N504" s="122"/>
      <c r="O504" s="122"/>
      <c r="P504" s="87">
        <v>0</v>
      </c>
      <c r="Q504" s="76"/>
      <c r="R504" s="77"/>
      <c r="S504" s="50"/>
    </row>
    <row r="505" spans="1:23" x14ac:dyDescent="0.25">
      <c r="A505" s="16"/>
      <c r="B505" s="119"/>
      <c r="C505" s="136" t="s">
        <v>48</v>
      </c>
      <c r="D505" s="99" t="s">
        <v>33</v>
      </c>
      <c r="E505" s="137">
        <v>852.64</v>
      </c>
      <c r="F505" s="141">
        <v>3.37</v>
      </c>
      <c r="G505" s="94">
        <f>E505*F505</f>
        <v>2873.3968</v>
      </c>
      <c r="H505" s="94">
        <v>30695.040000000001</v>
      </c>
      <c r="I505" s="84"/>
      <c r="J505" s="84"/>
      <c r="K505" s="84"/>
      <c r="L505" s="119"/>
      <c r="M505" s="119"/>
      <c r="N505" s="119"/>
      <c r="O505" s="119"/>
      <c r="P505" s="84">
        <v>178807.2</v>
      </c>
      <c r="Q505" s="38"/>
      <c r="R505" s="75"/>
      <c r="S505" s="51"/>
    </row>
    <row r="506" spans="1:23" ht="38.25" x14ac:dyDescent="0.25">
      <c r="A506" s="18"/>
      <c r="B506" s="122"/>
      <c r="C506" s="132" t="s">
        <v>48</v>
      </c>
      <c r="D506" s="100" t="s">
        <v>35</v>
      </c>
      <c r="E506" s="89">
        <f>SUM(E504:E505)</f>
        <v>18124.05</v>
      </c>
      <c r="F506" s="89"/>
      <c r="G506" s="87">
        <f t="shared" ref="G506:H506" si="150">SUM(G504:G505)</f>
        <v>58759.812000000005</v>
      </c>
      <c r="H506" s="87">
        <f t="shared" si="150"/>
        <v>359865.18999999994</v>
      </c>
      <c r="I506" s="87"/>
      <c r="J506" s="87"/>
      <c r="K506" s="87"/>
      <c r="L506" s="122"/>
      <c r="M506" s="122"/>
      <c r="N506" s="122"/>
      <c r="O506" s="122"/>
      <c r="P506" s="87">
        <v>178807.2</v>
      </c>
      <c r="Q506" s="76"/>
      <c r="R506" s="77"/>
      <c r="S506" s="50"/>
    </row>
    <row r="507" spans="1:23" x14ac:dyDescent="0.25">
      <c r="A507" s="16"/>
      <c r="B507" s="119"/>
      <c r="C507" s="136" t="s">
        <v>48</v>
      </c>
      <c r="D507" s="99" t="s">
        <v>34</v>
      </c>
      <c r="E507" s="137">
        <v>865.5</v>
      </c>
      <c r="F507" s="141">
        <v>3.37</v>
      </c>
      <c r="G507" s="94">
        <f>E507*F507</f>
        <v>2916.7350000000001</v>
      </c>
      <c r="H507" s="94">
        <v>31158</v>
      </c>
      <c r="I507" s="84"/>
      <c r="J507" s="84"/>
      <c r="K507" s="84"/>
      <c r="L507" s="119"/>
      <c r="M507" s="119"/>
      <c r="N507" s="119"/>
      <c r="O507" s="119"/>
      <c r="P507" s="84">
        <v>0</v>
      </c>
      <c r="Q507" s="38"/>
      <c r="R507" s="75"/>
      <c r="S507" s="51"/>
    </row>
    <row r="508" spans="1:23" ht="38.25" x14ac:dyDescent="0.25">
      <c r="A508" s="18"/>
      <c r="B508" s="122"/>
      <c r="C508" s="132" t="s">
        <v>48</v>
      </c>
      <c r="D508" s="100" t="s">
        <v>36</v>
      </c>
      <c r="E508" s="89">
        <f>SUM(E506:E507)</f>
        <v>18989.55</v>
      </c>
      <c r="F508" s="89"/>
      <c r="G508" s="87">
        <f t="shared" ref="G508:H508" si="151">SUM(G506:G507)</f>
        <v>61676.547000000006</v>
      </c>
      <c r="H508" s="87">
        <f t="shared" si="151"/>
        <v>391023.18999999994</v>
      </c>
      <c r="I508" s="87"/>
      <c r="J508" s="87"/>
      <c r="K508" s="87"/>
      <c r="L508" s="122"/>
      <c r="M508" s="122"/>
      <c r="N508" s="122"/>
      <c r="O508" s="122"/>
      <c r="P508" s="87">
        <v>178807.2</v>
      </c>
      <c r="Q508" s="76"/>
      <c r="R508" s="77"/>
      <c r="S508" s="50"/>
    </row>
    <row r="509" spans="1:23" s="2" customFormat="1" x14ac:dyDescent="0.25">
      <c r="A509" s="20"/>
      <c r="B509" s="129"/>
      <c r="C509" s="131" t="s">
        <v>48</v>
      </c>
      <c r="D509" s="99" t="s">
        <v>57</v>
      </c>
      <c r="E509" s="93">
        <v>766.68</v>
      </c>
      <c r="F509" s="94">
        <v>3.37</v>
      </c>
      <c r="G509" s="94">
        <f>E509*F509</f>
        <v>2583.7116000000001</v>
      </c>
      <c r="H509" s="94">
        <v>30667.200000000001</v>
      </c>
      <c r="I509" s="94"/>
      <c r="J509" s="94"/>
      <c r="K509" s="94"/>
      <c r="L509" s="129"/>
      <c r="M509" s="129"/>
      <c r="N509" s="129"/>
      <c r="O509" s="129"/>
      <c r="P509" s="94">
        <v>0</v>
      </c>
      <c r="Q509" s="73"/>
      <c r="R509" s="74"/>
      <c r="S509" s="47"/>
    </row>
    <row r="510" spans="1:23" s="2" customFormat="1" ht="38.25" x14ac:dyDescent="0.25">
      <c r="A510" s="18"/>
      <c r="B510" s="122"/>
      <c r="C510" s="132" t="s">
        <v>48</v>
      </c>
      <c r="D510" s="100" t="s">
        <v>58</v>
      </c>
      <c r="E510" s="89">
        <f>SUM(E508:E509)</f>
        <v>19756.23</v>
      </c>
      <c r="F510" s="89"/>
      <c r="G510" s="87">
        <f t="shared" ref="G510:H510" si="152">SUM(G508:G509)</f>
        <v>64260.258600000008</v>
      </c>
      <c r="H510" s="87">
        <f t="shared" si="152"/>
        <v>421690.38999999996</v>
      </c>
      <c r="I510" s="87"/>
      <c r="J510" s="87"/>
      <c r="K510" s="87"/>
      <c r="L510" s="122"/>
      <c r="M510" s="122"/>
      <c r="N510" s="122"/>
      <c r="O510" s="122"/>
      <c r="P510" s="87">
        <v>178807.2</v>
      </c>
      <c r="Q510" s="76"/>
      <c r="R510" s="77"/>
      <c r="S510" s="50"/>
    </row>
    <row r="511" spans="1:23" s="2" customFormat="1" x14ac:dyDescent="0.25">
      <c r="A511" s="20"/>
      <c r="B511" s="129"/>
      <c r="C511" s="131" t="s">
        <v>48</v>
      </c>
      <c r="D511" s="99" t="s">
        <v>61</v>
      </c>
      <c r="E511" s="93">
        <v>927.08</v>
      </c>
      <c r="F511" s="94">
        <v>3.37</v>
      </c>
      <c r="G511" s="94">
        <f>E511*F511</f>
        <v>3124.2596000000003</v>
      </c>
      <c r="H511" s="94">
        <v>37083.199999999997</v>
      </c>
      <c r="I511" s="94"/>
      <c r="J511" s="94"/>
      <c r="K511" s="94"/>
      <c r="L511" s="129"/>
      <c r="M511" s="129"/>
      <c r="N511" s="129"/>
      <c r="O511" s="129"/>
      <c r="P511" s="94">
        <v>54089.37</v>
      </c>
      <c r="Q511" s="73"/>
      <c r="R511" s="74"/>
      <c r="S511" s="47"/>
    </row>
    <row r="512" spans="1:23" s="2" customFormat="1" ht="39.75" customHeight="1" x14ac:dyDescent="0.25">
      <c r="A512" s="18"/>
      <c r="B512" s="122"/>
      <c r="C512" s="132" t="s">
        <v>48</v>
      </c>
      <c r="D512" s="100" t="s">
        <v>63</v>
      </c>
      <c r="E512" s="89">
        <f>SUM(E510:E511)</f>
        <v>20683.310000000001</v>
      </c>
      <c r="F512" s="89"/>
      <c r="G512" s="87">
        <f t="shared" ref="G512:H512" si="153">SUM(G510:G511)</f>
        <v>67384.518200000006</v>
      </c>
      <c r="H512" s="87">
        <f t="shared" si="153"/>
        <v>458773.58999999997</v>
      </c>
      <c r="I512" s="87"/>
      <c r="J512" s="87"/>
      <c r="K512" s="87"/>
      <c r="L512" s="122"/>
      <c r="M512" s="122"/>
      <c r="N512" s="122"/>
      <c r="O512" s="122"/>
      <c r="P512" s="87">
        <f>SUM(P510:P511)</f>
        <v>232896.57</v>
      </c>
      <c r="Q512" s="76"/>
      <c r="R512" s="77"/>
      <c r="S512" s="50"/>
    </row>
    <row r="513" spans="1:19" s="2" customFormat="1" ht="16.5" customHeight="1" x14ac:dyDescent="0.25">
      <c r="A513" s="20"/>
      <c r="B513" s="129"/>
      <c r="C513" s="131" t="s">
        <v>48</v>
      </c>
      <c r="D513" s="99" t="s">
        <v>64</v>
      </c>
      <c r="E513" s="93">
        <v>956.84</v>
      </c>
      <c r="F513" s="93">
        <v>3.37</v>
      </c>
      <c r="G513" s="94">
        <f>E513*F513</f>
        <v>3224.5508000000004</v>
      </c>
      <c r="H513" s="94">
        <v>38273.599999999999</v>
      </c>
      <c r="I513" s="94"/>
      <c r="J513" s="94"/>
      <c r="K513" s="94"/>
      <c r="L513" s="129"/>
      <c r="M513" s="129"/>
      <c r="N513" s="129"/>
      <c r="O513" s="129"/>
      <c r="P513" s="94">
        <v>0</v>
      </c>
      <c r="Q513" s="73"/>
      <c r="R513" s="74"/>
      <c r="S513" s="47"/>
    </row>
    <row r="514" spans="1:19" s="2" customFormat="1" ht="39.75" customHeight="1" x14ac:dyDescent="0.25">
      <c r="A514" s="18"/>
      <c r="B514" s="122"/>
      <c r="C514" s="132" t="s">
        <v>48</v>
      </c>
      <c r="D514" s="100" t="s">
        <v>65</v>
      </c>
      <c r="E514" s="89">
        <f>SUM(E512:E513)</f>
        <v>21640.15</v>
      </c>
      <c r="F514" s="89"/>
      <c r="G514" s="87">
        <f t="shared" ref="G514:H514" si="154">SUM(G512:G513)</f>
        <v>70609.069000000003</v>
      </c>
      <c r="H514" s="87">
        <f t="shared" si="154"/>
        <v>497047.18999999994</v>
      </c>
      <c r="I514" s="87"/>
      <c r="J514" s="87"/>
      <c r="K514" s="87"/>
      <c r="L514" s="122"/>
      <c r="M514" s="122"/>
      <c r="N514" s="122"/>
      <c r="O514" s="122"/>
      <c r="P514" s="87">
        <v>232896.57</v>
      </c>
      <c r="Q514" s="76"/>
      <c r="R514" s="77"/>
      <c r="S514" s="50"/>
    </row>
    <row r="515" spans="1:19" s="2" customFormat="1" ht="19.5" customHeight="1" x14ac:dyDescent="0.25">
      <c r="A515" s="20"/>
      <c r="B515" s="129"/>
      <c r="C515" s="136" t="s">
        <v>48</v>
      </c>
      <c r="D515" s="99" t="s">
        <v>70</v>
      </c>
      <c r="E515" s="93">
        <v>764.16</v>
      </c>
      <c r="F515" s="94">
        <v>3.37</v>
      </c>
      <c r="G515" s="94">
        <v>2575.2192</v>
      </c>
      <c r="H515" s="94">
        <v>30566.399999999998</v>
      </c>
      <c r="I515" s="94"/>
      <c r="J515" s="94"/>
      <c r="K515" s="94"/>
      <c r="L515" s="129"/>
      <c r="M515" s="129"/>
      <c r="N515" s="129"/>
      <c r="O515" s="129"/>
      <c r="P515" s="94">
        <v>0</v>
      </c>
      <c r="Q515" s="73"/>
      <c r="R515" s="74"/>
      <c r="S515" s="47"/>
    </row>
    <row r="516" spans="1:19" s="2" customFormat="1" ht="39.75" customHeight="1" x14ac:dyDescent="0.25">
      <c r="A516" s="18"/>
      <c r="B516" s="122"/>
      <c r="C516" s="132" t="s">
        <v>48</v>
      </c>
      <c r="D516" s="100" t="s">
        <v>69</v>
      </c>
      <c r="E516" s="89">
        <f>SUM(E514:E515)</f>
        <v>22404.31</v>
      </c>
      <c r="F516" s="89"/>
      <c r="G516" s="87">
        <f t="shared" ref="G516:H516" si="155">SUM(G514:G515)</f>
        <v>73184.28820000001</v>
      </c>
      <c r="H516" s="87">
        <f t="shared" si="155"/>
        <v>527613.59</v>
      </c>
      <c r="I516" s="87"/>
      <c r="J516" s="87"/>
      <c r="K516" s="87"/>
      <c r="L516" s="122"/>
      <c r="M516" s="122"/>
      <c r="N516" s="122"/>
      <c r="O516" s="122"/>
      <c r="P516" s="87">
        <v>232896.57</v>
      </c>
      <c r="Q516" s="76"/>
      <c r="R516" s="77"/>
      <c r="S516" s="50"/>
    </row>
    <row r="517" spans="1:19" s="2" customFormat="1" ht="21.75" customHeight="1" x14ac:dyDescent="0.25">
      <c r="A517" s="20"/>
      <c r="B517" s="129"/>
      <c r="C517" s="131" t="s">
        <v>48</v>
      </c>
      <c r="D517" s="99" t="s">
        <v>71</v>
      </c>
      <c r="E517" s="93">
        <v>698.26</v>
      </c>
      <c r="F517" s="94">
        <v>3.45</v>
      </c>
      <c r="G517" s="94">
        <f>E517*F517</f>
        <v>2408.9970000000003</v>
      </c>
      <c r="H517" s="94">
        <f>E517*45</f>
        <v>31421.7</v>
      </c>
      <c r="I517" s="94"/>
      <c r="J517" s="94"/>
      <c r="K517" s="94"/>
      <c r="L517" s="129"/>
      <c r="M517" s="129"/>
      <c r="N517" s="129"/>
      <c r="O517" s="129"/>
      <c r="P517" s="94">
        <v>0</v>
      </c>
      <c r="Q517" s="73"/>
      <c r="R517" s="74"/>
      <c r="S517" s="47"/>
    </row>
    <row r="518" spans="1:19" s="2" customFormat="1" ht="39.75" customHeight="1" x14ac:dyDescent="0.25">
      <c r="A518" s="18"/>
      <c r="B518" s="122"/>
      <c r="C518" s="132" t="s">
        <v>48</v>
      </c>
      <c r="D518" s="100" t="s">
        <v>72</v>
      </c>
      <c r="E518" s="89">
        <f>SUM(E516:E517)</f>
        <v>23102.57</v>
      </c>
      <c r="F518" s="89"/>
      <c r="G518" s="87">
        <f t="shared" ref="G518:H518" si="156">SUM(G516:G517)</f>
        <v>75593.285200000013</v>
      </c>
      <c r="H518" s="87">
        <f t="shared" si="156"/>
        <v>559035.28999999992</v>
      </c>
      <c r="I518" s="87"/>
      <c r="J518" s="87"/>
      <c r="K518" s="87"/>
      <c r="L518" s="122"/>
      <c r="M518" s="122"/>
      <c r="N518" s="122"/>
      <c r="O518" s="122"/>
      <c r="P518" s="87">
        <v>232896.57</v>
      </c>
      <c r="Q518" s="76"/>
      <c r="R518" s="77"/>
      <c r="S518" s="50"/>
    </row>
    <row r="519" spans="1:19" s="2" customFormat="1" ht="24" customHeight="1" x14ac:dyDescent="0.25">
      <c r="A519" s="20"/>
      <c r="B519" s="129"/>
      <c r="C519" s="131" t="s">
        <v>48</v>
      </c>
      <c r="D519" s="99" t="s">
        <v>73</v>
      </c>
      <c r="E519" s="93">
        <v>1016</v>
      </c>
      <c r="F519" s="94">
        <v>3.45</v>
      </c>
      <c r="G519" s="94">
        <f>E519*F519</f>
        <v>3505.2000000000003</v>
      </c>
      <c r="H519" s="94">
        <f>E519*45</f>
        <v>45720</v>
      </c>
      <c r="I519" s="94"/>
      <c r="J519" s="94"/>
      <c r="K519" s="94"/>
      <c r="L519" s="129"/>
      <c r="M519" s="129"/>
      <c r="N519" s="129"/>
      <c r="O519" s="129"/>
      <c r="P519" s="94">
        <v>0</v>
      </c>
      <c r="Q519" s="73"/>
      <c r="R519" s="74"/>
      <c r="S519" s="47"/>
    </row>
    <row r="520" spans="1:19" s="2" customFormat="1" ht="39.75" customHeight="1" x14ac:dyDescent="0.25">
      <c r="A520" s="18"/>
      <c r="B520" s="122"/>
      <c r="C520" s="132" t="s">
        <v>48</v>
      </c>
      <c r="D520" s="100" t="s">
        <v>74</v>
      </c>
      <c r="E520" s="89">
        <f>SUM(E518:E519)</f>
        <v>24118.57</v>
      </c>
      <c r="F520" s="89"/>
      <c r="G520" s="87">
        <f t="shared" ref="G520:H520" si="157">SUM(G518:G519)</f>
        <v>79098.48520000001</v>
      </c>
      <c r="H520" s="87">
        <f t="shared" si="157"/>
        <v>604755.28999999992</v>
      </c>
      <c r="I520" s="87"/>
      <c r="J520" s="87"/>
      <c r="K520" s="87"/>
      <c r="L520" s="122"/>
      <c r="M520" s="122"/>
      <c r="N520" s="122"/>
      <c r="O520" s="122"/>
      <c r="P520" s="87">
        <v>232896.57</v>
      </c>
      <c r="Q520" s="76"/>
      <c r="R520" s="77"/>
      <c r="S520" s="50"/>
    </row>
    <row r="521" spans="1:19" s="2" customFormat="1" ht="19.5" customHeight="1" x14ac:dyDescent="0.25">
      <c r="A521" s="20"/>
      <c r="B521" s="129"/>
      <c r="C521" s="131" t="s">
        <v>48</v>
      </c>
      <c r="D521" s="99" t="s">
        <v>76</v>
      </c>
      <c r="E521" s="93">
        <v>885.86</v>
      </c>
      <c r="F521" s="94">
        <v>3.45</v>
      </c>
      <c r="G521" s="94">
        <f>E521*F521</f>
        <v>3056.2170000000001</v>
      </c>
      <c r="H521" s="94">
        <f>E521*45</f>
        <v>39863.699999999997</v>
      </c>
      <c r="I521" s="94"/>
      <c r="J521" s="94"/>
      <c r="K521" s="94"/>
      <c r="L521" s="129"/>
      <c r="M521" s="129"/>
      <c r="N521" s="129"/>
      <c r="O521" s="129"/>
      <c r="P521" s="94">
        <v>0</v>
      </c>
      <c r="Q521" s="73"/>
      <c r="R521" s="74"/>
      <c r="S521" s="47"/>
    </row>
    <row r="522" spans="1:19" s="2" customFormat="1" ht="39.75" customHeight="1" x14ac:dyDescent="0.25">
      <c r="A522" s="20"/>
      <c r="B522" s="129"/>
      <c r="C522" s="131" t="s">
        <v>54</v>
      </c>
      <c r="D522" s="104"/>
      <c r="E522" s="93">
        <v>8.5</v>
      </c>
      <c r="F522" s="94">
        <v>0</v>
      </c>
      <c r="G522" s="94">
        <v>0</v>
      </c>
      <c r="H522" s="94">
        <v>0</v>
      </c>
      <c r="I522" s="94"/>
      <c r="J522" s="94"/>
      <c r="K522" s="94"/>
      <c r="L522" s="129"/>
      <c r="M522" s="129"/>
      <c r="N522" s="129"/>
      <c r="O522" s="129"/>
      <c r="P522" s="94"/>
      <c r="Q522" s="73"/>
      <c r="R522" s="74"/>
      <c r="S522" s="47"/>
    </row>
    <row r="523" spans="1:19" s="2" customFormat="1" ht="39.75" customHeight="1" x14ac:dyDescent="0.25">
      <c r="A523" s="18"/>
      <c r="B523" s="122"/>
      <c r="C523" s="132" t="s">
        <v>48</v>
      </c>
      <c r="D523" s="100" t="s">
        <v>77</v>
      </c>
      <c r="E523" s="89">
        <f>SUM(E520:E522)</f>
        <v>25012.93</v>
      </c>
      <c r="F523" s="89"/>
      <c r="G523" s="87">
        <f t="shared" ref="G523:H523" si="158">SUM(G520:G522)</f>
        <v>82154.702200000014</v>
      </c>
      <c r="H523" s="87">
        <f t="shared" si="158"/>
        <v>644618.98999999987</v>
      </c>
      <c r="I523" s="87"/>
      <c r="J523" s="87"/>
      <c r="K523" s="87"/>
      <c r="L523" s="122"/>
      <c r="M523" s="122"/>
      <c r="N523" s="122"/>
      <c r="O523" s="122"/>
      <c r="P523" s="87">
        <v>232896.57</v>
      </c>
      <c r="Q523" s="76"/>
      <c r="R523" s="77"/>
      <c r="S523" s="50"/>
    </row>
    <row r="524" spans="1:19" s="2" customFormat="1" ht="22.5" customHeight="1" x14ac:dyDescent="0.25">
      <c r="A524" s="20"/>
      <c r="B524" s="129"/>
      <c r="C524" s="131" t="s">
        <v>48</v>
      </c>
      <c r="D524" s="99" t="s">
        <v>78</v>
      </c>
      <c r="E524" s="93">
        <v>301.55</v>
      </c>
      <c r="F524" s="94">
        <v>3.45</v>
      </c>
      <c r="G524" s="94">
        <f>E524*F524</f>
        <v>1040.3475000000001</v>
      </c>
      <c r="H524" s="94">
        <f>E524*45</f>
        <v>13569.75</v>
      </c>
      <c r="I524" s="94"/>
      <c r="J524" s="94"/>
      <c r="K524" s="94"/>
      <c r="L524" s="129"/>
      <c r="M524" s="129"/>
      <c r="N524" s="129"/>
      <c r="O524" s="129"/>
      <c r="P524" s="94">
        <v>165942.28</v>
      </c>
      <c r="Q524" s="73"/>
      <c r="R524" s="74"/>
      <c r="S524" s="47"/>
    </row>
    <row r="525" spans="1:19" s="2" customFormat="1" ht="39.75" customHeight="1" x14ac:dyDescent="0.25">
      <c r="A525" s="18"/>
      <c r="B525" s="122"/>
      <c r="C525" s="132" t="s">
        <v>48</v>
      </c>
      <c r="D525" s="100" t="s">
        <v>79</v>
      </c>
      <c r="E525" s="89">
        <f>SUM(E523:E524)</f>
        <v>25314.48</v>
      </c>
      <c r="F525" s="89"/>
      <c r="G525" s="87">
        <f t="shared" ref="G525:H525" si="159">SUM(G523:G524)</f>
        <v>83195.049700000018</v>
      </c>
      <c r="H525" s="87">
        <f t="shared" si="159"/>
        <v>658188.73999999987</v>
      </c>
      <c r="I525" s="87"/>
      <c r="J525" s="87"/>
      <c r="K525" s="87"/>
      <c r="L525" s="122"/>
      <c r="M525" s="122"/>
      <c r="N525" s="122"/>
      <c r="O525" s="122"/>
      <c r="P525" s="87">
        <f>P523+P524</f>
        <v>398838.85</v>
      </c>
      <c r="Q525" s="76"/>
      <c r="R525" s="77"/>
      <c r="S525" s="50"/>
    </row>
    <row r="526" spans="1:19" s="2" customFormat="1" ht="22.5" customHeight="1" x14ac:dyDescent="0.25">
      <c r="A526" s="20"/>
      <c r="B526" s="129"/>
      <c r="C526" s="131" t="s">
        <v>48</v>
      </c>
      <c r="D526" s="99" t="s">
        <v>82</v>
      </c>
      <c r="E526" s="93">
        <v>216.84</v>
      </c>
      <c r="F526" s="94">
        <v>3.45</v>
      </c>
      <c r="G526" s="94">
        <f>E526*F526</f>
        <v>748.09800000000007</v>
      </c>
      <c r="H526" s="94">
        <f>E526*57</f>
        <v>12359.880000000001</v>
      </c>
      <c r="I526" s="94"/>
      <c r="J526" s="94"/>
      <c r="K526" s="94"/>
      <c r="L526" s="129"/>
      <c r="M526" s="129"/>
      <c r="N526" s="129"/>
      <c r="O526" s="129"/>
      <c r="P526" s="94">
        <v>151956.35999999999</v>
      </c>
      <c r="Q526" s="73"/>
      <c r="R526" s="74"/>
      <c r="S526" s="47"/>
    </row>
    <row r="527" spans="1:19" s="2" customFormat="1" ht="39.75" customHeight="1" x14ac:dyDescent="0.25">
      <c r="A527" s="18"/>
      <c r="B527" s="122"/>
      <c r="C527" s="132" t="s">
        <v>48</v>
      </c>
      <c r="D527" s="100" t="s">
        <v>81</v>
      </c>
      <c r="E527" s="89">
        <f>SUM(E525:E526)</f>
        <v>25531.32</v>
      </c>
      <c r="F527" s="89"/>
      <c r="G527" s="87">
        <f t="shared" ref="G527:P527" si="160">SUM(G525:G526)</f>
        <v>83943.147700000016</v>
      </c>
      <c r="H527" s="87">
        <f t="shared" si="160"/>
        <v>670548.61999999988</v>
      </c>
      <c r="I527" s="87"/>
      <c r="J527" s="87"/>
      <c r="K527" s="87"/>
      <c r="L527" s="87"/>
      <c r="M527" s="87"/>
      <c r="N527" s="87"/>
      <c r="O527" s="87"/>
      <c r="P527" s="87">
        <f t="shared" si="160"/>
        <v>550795.21</v>
      </c>
      <c r="Q527" s="76"/>
      <c r="R527" s="77"/>
      <c r="S527" s="50"/>
    </row>
    <row r="528" spans="1:19" s="2" customFormat="1" ht="24.75" customHeight="1" x14ac:dyDescent="0.25">
      <c r="A528" s="20"/>
      <c r="B528" s="129"/>
      <c r="C528" s="131" t="s">
        <v>48</v>
      </c>
      <c r="D528" s="99" t="s">
        <v>84</v>
      </c>
      <c r="E528" s="93">
        <v>654.28</v>
      </c>
      <c r="F528" s="94">
        <v>3.45</v>
      </c>
      <c r="G528" s="94">
        <f>E528*F528</f>
        <v>2257.2660000000001</v>
      </c>
      <c r="H528" s="94">
        <f>E528*57</f>
        <v>37293.96</v>
      </c>
      <c r="I528" s="94"/>
      <c r="J528" s="94"/>
      <c r="K528" s="94"/>
      <c r="L528" s="94"/>
      <c r="M528" s="94"/>
      <c r="N528" s="94"/>
      <c r="O528" s="94"/>
      <c r="P528" s="94">
        <v>0</v>
      </c>
      <c r="Q528" s="73"/>
      <c r="R528" s="74"/>
      <c r="S528" s="47"/>
    </row>
    <row r="529" spans="1:19" s="2" customFormat="1" ht="39.75" customHeight="1" x14ac:dyDescent="0.25">
      <c r="A529" s="18"/>
      <c r="B529" s="122"/>
      <c r="C529" s="132" t="s">
        <v>48</v>
      </c>
      <c r="D529" s="100" t="s">
        <v>86</v>
      </c>
      <c r="E529" s="89">
        <f>SUM(E527:E528)</f>
        <v>26185.599999999999</v>
      </c>
      <c r="F529" s="89"/>
      <c r="G529" s="87">
        <f t="shared" ref="G529:P529" si="161">SUM(G527:G528)</f>
        <v>86200.413700000019</v>
      </c>
      <c r="H529" s="87">
        <f t="shared" si="161"/>
        <v>707842.57999999984</v>
      </c>
      <c r="I529" s="87"/>
      <c r="J529" s="87"/>
      <c r="K529" s="87"/>
      <c r="L529" s="87"/>
      <c r="M529" s="87"/>
      <c r="N529" s="87"/>
      <c r="O529" s="87"/>
      <c r="P529" s="87">
        <f t="shared" si="161"/>
        <v>550795.21</v>
      </c>
      <c r="Q529" s="76"/>
      <c r="R529" s="77"/>
      <c r="S529" s="50"/>
    </row>
    <row r="530" spans="1:19" s="2" customFormat="1" ht="24.75" customHeight="1" x14ac:dyDescent="0.25">
      <c r="A530" s="20"/>
      <c r="B530" s="129"/>
      <c r="C530" s="131" t="s">
        <v>48</v>
      </c>
      <c r="D530" s="99" t="s">
        <v>89</v>
      </c>
      <c r="E530" s="93">
        <v>1080.96</v>
      </c>
      <c r="F530" s="94">
        <v>3.45</v>
      </c>
      <c r="G530" s="94">
        <f>E530*F530</f>
        <v>3729.3120000000004</v>
      </c>
      <c r="H530" s="94">
        <f>E530*57</f>
        <v>61614.720000000001</v>
      </c>
      <c r="I530" s="94"/>
      <c r="J530" s="94"/>
      <c r="K530" s="94"/>
      <c r="L530" s="94"/>
      <c r="M530" s="94"/>
      <c r="N530" s="94"/>
      <c r="O530" s="94"/>
      <c r="P530" s="94">
        <v>0</v>
      </c>
      <c r="Q530" s="73"/>
      <c r="R530" s="74"/>
      <c r="S530" s="47"/>
    </row>
    <row r="531" spans="1:19" s="2" customFormat="1" ht="39.75" customHeight="1" x14ac:dyDescent="0.25">
      <c r="A531" s="18"/>
      <c r="B531" s="122"/>
      <c r="C531" s="132" t="s">
        <v>48</v>
      </c>
      <c r="D531" s="100" t="s">
        <v>90</v>
      </c>
      <c r="E531" s="89">
        <f>SUM(E529:E530)</f>
        <v>27266.559999999998</v>
      </c>
      <c r="F531" s="89"/>
      <c r="G531" s="87">
        <f t="shared" ref="G531:P531" si="162">SUM(G529:G530)</f>
        <v>89929.725700000025</v>
      </c>
      <c r="H531" s="87">
        <f t="shared" si="162"/>
        <v>769457.29999999981</v>
      </c>
      <c r="I531" s="87"/>
      <c r="J531" s="87"/>
      <c r="K531" s="87"/>
      <c r="L531" s="87"/>
      <c r="M531" s="87"/>
      <c r="N531" s="87"/>
      <c r="O531" s="87"/>
      <c r="P531" s="87">
        <f t="shared" si="162"/>
        <v>550795.21</v>
      </c>
      <c r="Q531" s="76"/>
      <c r="R531" s="77"/>
      <c r="S531" s="50"/>
    </row>
    <row r="532" spans="1:19" s="2" customFormat="1" ht="26.25" customHeight="1" x14ac:dyDescent="0.25">
      <c r="A532" s="20"/>
      <c r="B532" s="129"/>
      <c r="C532" s="131" t="s">
        <v>48</v>
      </c>
      <c r="D532" s="99" t="s">
        <v>93</v>
      </c>
      <c r="E532" s="93">
        <v>957.42</v>
      </c>
      <c r="F532" s="94">
        <v>3.45</v>
      </c>
      <c r="G532" s="94">
        <f>E532*F532</f>
        <v>3303.0990000000002</v>
      </c>
      <c r="H532" s="94">
        <f>E532*57</f>
        <v>54572.939999999995</v>
      </c>
      <c r="I532" s="94"/>
      <c r="J532" s="94"/>
      <c r="K532" s="94"/>
      <c r="L532" s="94"/>
      <c r="M532" s="94"/>
      <c r="N532" s="94"/>
      <c r="O532" s="94"/>
      <c r="P532" s="94">
        <v>0</v>
      </c>
      <c r="Q532" s="73"/>
      <c r="R532" s="74"/>
      <c r="S532" s="47"/>
    </row>
    <row r="533" spans="1:19" s="2" customFormat="1" ht="39.75" customHeight="1" x14ac:dyDescent="0.25">
      <c r="A533" s="18"/>
      <c r="B533" s="122"/>
      <c r="C533" s="132" t="s">
        <v>48</v>
      </c>
      <c r="D533" s="100" t="s">
        <v>94</v>
      </c>
      <c r="E533" s="89">
        <f>SUM(E531:E532)</f>
        <v>28223.979999999996</v>
      </c>
      <c r="F533" s="89"/>
      <c r="G533" s="87">
        <f t="shared" ref="G533:H533" si="163">SUM(G531:G532)</f>
        <v>93232.824700000026</v>
      </c>
      <c r="H533" s="87">
        <f t="shared" si="163"/>
        <v>824030.23999999976</v>
      </c>
      <c r="I533" s="87"/>
      <c r="J533" s="87"/>
      <c r="K533" s="87"/>
      <c r="L533" s="87"/>
      <c r="M533" s="87"/>
      <c r="N533" s="87"/>
      <c r="O533" s="87"/>
      <c r="P533" s="87">
        <v>550795.21</v>
      </c>
      <c r="Q533" s="76"/>
      <c r="R533" s="77"/>
      <c r="S533" s="50"/>
    </row>
    <row r="534" spans="1:19" s="2" customFormat="1" ht="91.5" customHeight="1" x14ac:dyDescent="0.25">
      <c r="A534" s="20"/>
      <c r="B534" s="129"/>
      <c r="C534" s="131" t="s">
        <v>48</v>
      </c>
      <c r="D534" s="99" t="s">
        <v>96</v>
      </c>
      <c r="E534" s="93">
        <v>796.04</v>
      </c>
      <c r="F534" s="94">
        <v>5.6</v>
      </c>
      <c r="G534" s="94">
        <f>E534*F534</f>
        <v>4457.8239999999996</v>
      </c>
      <c r="H534" s="94">
        <v>73017.56</v>
      </c>
      <c r="I534" s="94"/>
      <c r="J534" s="94"/>
      <c r="K534" s="94"/>
      <c r="L534" s="94"/>
      <c r="M534" s="94"/>
      <c r="N534" s="94"/>
      <c r="O534" s="94"/>
      <c r="P534" s="220" t="s">
        <v>116</v>
      </c>
      <c r="Q534" s="73"/>
      <c r="R534" s="74"/>
      <c r="S534" s="217" t="s">
        <v>101</v>
      </c>
    </row>
    <row r="535" spans="1:19" s="2" customFormat="1" ht="39.75" customHeight="1" x14ac:dyDescent="0.25">
      <c r="A535" s="18"/>
      <c r="B535" s="122"/>
      <c r="C535" s="132" t="s">
        <v>48</v>
      </c>
      <c r="D535" s="100" t="s">
        <v>97</v>
      </c>
      <c r="E535" s="89">
        <f>SUM(E533:E534)</f>
        <v>29020.019999999997</v>
      </c>
      <c r="F535" s="89"/>
      <c r="G535" s="87">
        <f>SUM(G533:G534)</f>
        <v>97690.64870000002</v>
      </c>
      <c r="H535" s="87">
        <f t="shared" ref="H535" si="164">SUM(H533:H534)</f>
        <v>897047.79999999981</v>
      </c>
      <c r="I535" s="87"/>
      <c r="J535" s="87"/>
      <c r="K535" s="87"/>
      <c r="L535" s="87"/>
      <c r="M535" s="87"/>
      <c r="N535" s="87"/>
      <c r="O535" s="87"/>
      <c r="P535" s="221" t="s">
        <v>117</v>
      </c>
      <c r="Q535" s="76"/>
      <c r="R535" s="77"/>
      <c r="S535" s="50"/>
    </row>
    <row r="536" spans="1:19" s="2" customFormat="1" ht="29.25" customHeight="1" x14ac:dyDescent="0.25">
      <c r="A536" s="20"/>
      <c r="B536" s="129"/>
      <c r="C536" s="131" t="s">
        <v>48</v>
      </c>
      <c r="D536" s="99" t="s">
        <v>119</v>
      </c>
      <c r="E536" s="93">
        <v>995.68</v>
      </c>
      <c r="F536" s="94">
        <v>5.6</v>
      </c>
      <c r="G536" s="94">
        <f>E536*F536</f>
        <v>5575.8079999999991</v>
      </c>
      <c r="H536" s="94">
        <f>E536*69</f>
        <v>68701.919999999998</v>
      </c>
      <c r="I536" s="94"/>
      <c r="J536" s="94"/>
      <c r="K536" s="94"/>
      <c r="L536" s="94"/>
      <c r="M536" s="94"/>
      <c r="N536" s="94"/>
      <c r="O536" s="94"/>
      <c r="P536" s="220" t="s">
        <v>125</v>
      </c>
      <c r="Q536" s="73"/>
      <c r="R536" s="74"/>
      <c r="S536" s="47"/>
    </row>
    <row r="537" spans="1:19" s="2" customFormat="1" ht="39.75" customHeight="1" x14ac:dyDescent="0.25">
      <c r="A537" s="18"/>
      <c r="B537" s="122"/>
      <c r="C537" s="132" t="s">
        <v>48</v>
      </c>
      <c r="D537" s="100" t="s">
        <v>120</v>
      </c>
      <c r="E537" s="89">
        <f>SUM(E535:E536)</f>
        <v>30015.699999999997</v>
      </c>
      <c r="F537" s="89"/>
      <c r="G537" s="87">
        <f t="shared" ref="G537:H537" si="165">SUM(G535:G536)</f>
        <v>103266.45670000002</v>
      </c>
      <c r="H537" s="87">
        <f t="shared" si="165"/>
        <v>965749.71999999986</v>
      </c>
      <c r="I537" s="87"/>
      <c r="J537" s="87"/>
      <c r="K537" s="87"/>
      <c r="L537" s="87"/>
      <c r="M537" s="87"/>
      <c r="N537" s="87"/>
      <c r="O537" s="87"/>
      <c r="P537" s="221" t="s">
        <v>137</v>
      </c>
      <c r="Q537" s="76"/>
      <c r="R537" s="77"/>
      <c r="S537" s="50"/>
    </row>
    <row r="538" spans="1:19" s="2" customFormat="1" ht="39.75" customHeight="1" x14ac:dyDescent="0.25">
      <c r="A538" s="20"/>
      <c r="B538" s="129"/>
      <c r="C538" s="131" t="s">
        <v>48</v>
      </c>
      <c r="D538" s="99" t="s">
        <v>139</v>
      </c>
      <c r="E538" s="93">
        <v>1034.68</v>
      </c>
      <c r="F538" s="94">
        <v>5.6</v>
      </c>
      <c r="G538" s="94">
        <f>SUM(E538*F538)</f>
        <v>5794.2079999999996</v>
      </c>
      <c r="H538" s="94">
        <f>SUM(E538*69)</f>
        <v>71392.92</v>
      </c>
      <c r="I538" s="94"/>
      <c r="J538" s="94"/>
      <c r="K538" s="94"/>
      <c r="L538" s="94"/>
      <c r="M538" s="94"/>
      <c r="N538" s="94"/>
      <c r="O538" s="94"/>
      <c r="P538" s="220">
        <v>0</v>
      </c>
      <c r="Q538" s="73"/>
      <c r="R538" s="74"/>
      <c r="S538" s="47"/>
    </row>
    <row r="539" spans="1:19" s="2" customFormat="1" ht="39.75" customHeight="1" x14ac:dyDescent="0.25">
      <c r="A539" s="18"/>
      <c r="B539" s="122"/>
      <c r="C539" s="132" t="s">
        <v>48</v>
      </c>
      <c r="D539" s="100" t="s">
        <v>140</v>
      </c>
      <c r="E539" s="89">
        <f>SUM(E537:E538)</f>
        <v>31050.379999999997</v>
      </c>
      <c r="F539" s="89"/>
      <c r="G539" s="87">
        <f t="shared" ref="G539:H539" si="166">SUM(G537:G538)</f>
        <v>109060.66470000002</v>
      </c>
      <c r="H539" s="87">
        <f t="shared" si="166"/>
        <v>1037142.6399999999</v>
      </c>
      <c r="I539" s="87"/>
      <c r="J539" s="87"/>
      <c r="K539" s="87"/>
      <c r="L539" s="87"/>
      <c r="M539" s="87"/>
      <c r="N539" s="87"/>
      <c r="O539" s="87"/>
      <c r="P539" s="221" t="s">
        <v>137</v>
      </c>
      <c r="Q539" s="76"/>
      <c r="R539" s="77"/>
      <c r="S539" s="50"/>
    </row>
    <row r="540" spans="1:19" s="2" customFormat="1" ht="39.75" customHeight="1" x14ac:dyDescent="0.25">
      <c r="A540" s="20"/>
      <c r="B540" s="129"/>
      <c r="C540" s="131" t="s">
        <v>48</v>
      </c>
      <c r="D540" s="99" t="s">
        <v>144</v>
      </c>
      <c r="E540" s="93">
        <v>955.58</v>
      </c>
      <c r="F540" s="94">
        <v>5.6</v>
      </c>
      <c r="G540" s="94">
        <f>SUM(E540*F540)</f>
        <v>5351.2479999999996</v>
      </c>
      <c r="H540" s="94">
        <f>SUM(E540*69)</f>
        <v>65935.02</v>
      </c>
      <c r="I540" s="180"/>
      <c r="K540" s="94"/>
      <c r="L540" s="94"/>
      <c r="M540" s="94"/>
      <c r="N540" s="94"/>
      <c r="O540" s="94"/>
      <c r="P540" s="220" t="s">
        <v>154</v>
      </c>
      <c r="Q540" s="73"/>
      <c r="R540" s="74"/>
      <c r="S540" s="47"/>
    </row>
    <row r="541" spans="1:19" s="2" customFormat="1" ht="39.75" customHeight="1" x14ac:dyDescent="0.25">
      <c r="A541" s="18"/>
      <c r="B541" s="122"/>
      <c r="C541" s="132" t="s">
        <v>48</v>
      </c>
      <c r="D541" s="100" t="s">
        <v>145</v>
      </c>
      <c r="E541" s="89">
        <f>SUM(E539:E540)</f>
        <v>32005.96</v>
      </c>
      <c r="F541" s="89"/>
      <c r="G541" s="87">
        <f>SUM(G539:G540)</f>
        <v>114411.91270000002</v>
      </c>
      <c r="H541" s="87">
        <f>SUM(H539:H540)</f>
        <v>1103077.6599999999</v>
      </c>
      <c r="I541" s="87"/>
      <c r="J541" s="87"/>
      <c r="K541" s="87"/>
      <c r="L541" s="87"/>
      <c r="M541" s="87"/>
      <c r="N541" s="87"/>
      <c r="O541" s="87"/>
      <c r="P541" s="221" t="s">
        <v>155</v>
      </c>
      <c r="Q541" s="76"/>
      <c r="R541" s="77"/>
      <c r="S541" s="50"/>
    </row>
    <row r="542" spans="1:19" s="2" customFormat="1" ht="39.75" customHeight="1" x14ac:dyDescent="0.25">
      <c r="A542" s="20"/>
      <c r="B542" s="129"/>
      <c r="C542" s="131" t="s">
        <v>48</v>
      </c>
      <c r="D542" s="99" t="s">
        <v>165</v>
      </c>
      <c r="E542" s="93">
        <v>804.18</v>
      </c>
      <c r="F542" s="94">
        <v>5.6</v>
      </c>
      <c r="G542" s="94">
        <f>E542*F542</f>
        <v>4503.4079999999994</v>
      </c>
      <c r="H542" s="94">
        <f>E542*82</f>
        <v>65942.759999999995</v>
      </c>
      <c r="I542" s="94"/>
      <c r="J542" s="94"/>
      <c r="K542" s="94"/>
      <c r="L542" s="94"/>
      <c r="M542" s="94"/>
      <c r="N542" s="94"/>
      <c r="O542" s="94"/>
      <c r="P542" s="220" t="s">
        <v>182</v>
      </c>
      <c r="Q542" s="73"/>
      <c r="R542" s="74"/>
      <c r="S542" s="47"/>
    </row>
    <row r="543" spans="1:19" s="2" customFormat="1" ht="39.75" customHeight="1" x14ac:dyDescent="0.25">
      <c r="A543" s="18"/>
      <c r="B543" s="122"/>
      <c r="C543" s="132" t="s">
        <v>48</v>
      </c>
      <c r="D543" s="100" t="s">
        <v>167</v>
      </c>
      <c r="E543" s="89">
        <f>SUM(E541:E542)</f>
        <v>32810.14</v>
      </c>
      <c r="F543" s="89"/>
      <c r="G543" s="87">
        <f t="shared" ref="G543:H543" si="167">SUM(G541:G542)</f>
        <v>118915.32070000001</v>
      </c>
      <c r="H543" s="87">
        <f t="shared" si="167"/>
        <v>1169020.42</v>
      </c>
      <c r="I543" s="87"/>
      <c r="J543" s="87"/>
      <c r="K543" s="87"/>
      <c r="L543" s="87"/>
      <c r="M543" s="87"/>
      <c r="N543" s="87"/>
      <c r="O543" s="87"/>
      <c r="P543" s="221" t="s">
        <v>183</v>
      </c>
      <c r="Q543" s="76"/>
      <c r="R543" s="77"/>
      <c r="S543" s="50"/>
    </row>
    <row r="544" spans="1:19" s="2" customFormat="1" ht="39.75" customHeight="1" x14ac:dyDescent="0.25">
      <c r="A544" s="20"/>
      <c r="B544" s="129"/>
      <c r="C544" s="131" t="s">
        <v>48</v>
      </c>
      <c r="D544" s="99" t="s">
        <v>166</v>
      </c>
      <c r="E544" s="93">
        <v>1097.8399999999999</v>
      </c>
      <c r="F544" s="94">
        <v>5.6</v>
      </c>
      <c r="G544" s="94">
        <f>391.66*5.6</f>
        <v>2193.2959999999998</v>
      </c>
      <c r="H544" s="94">
        <f>391.66*82</f>
        <v>32116.120000000003</v>
      </c>
      <c r="I544" s="94">
        <f>706.18*5.6</f>
        <v>3954.6079999999993</v>
      </c>
      <c r="J544" s="94">
        <f>706.18*82</f>
        <v>57906.759999999995</v>
      </c>
      <c r="K544" s="94"/>
      <c r="L544" s="94"/>
      <c r="M544" s="94"/>
      <c r="N544" s="94"/>
      <c r="O544" s="94"/>
      <c r="P544" s="220">
        <v>0</v>
      </c>
      <c r="Q544" s="73"/>
      <c r="R544" s="74"/>
      <c r="S544" s="47"/>
    </row>
    <row r="545" spans="1:19" s="2" customFormat="1" ht="39.75" customHeight="1" x14ac:dyDescent="0.25">
      <c r="A545" s="18"/>
      <c r="B545" s="122"/>
      <c r="C545" s="132" t="s">
        <v>48</v>
      </c>
      <c r="D545" s="100" t="s">
        <v>168</v>
      </c>
      <c r="E545" s="89">
        <f>SUM(E543:E544)</f>
        <v>33907.979999999996</v>
      </c>
      <c r="F545" s="89"/>
      <c r="G545" s="87">
        <f t="shared" ref="G545:J545" si="168">SUM(G543:G544)</f>
        <v>121108.61670000001</v>
      </c>
      <c r="H545" s="87">
        <f t="shared" si="168"/>
        <v>1201136.54</v>
      </c>
      <c r="I545" s="87">
        <f t="shared" si="168"/>
        <v>3954.6079999999993</v>
      </c>
      <c r="J545" s="87">
        <f t="shared" si="168"/>
        <v>57906.759999999995</v>
      </c>
      <c r="K545" s="87"/>
      <c r="L545" s="87"/>
      <c r="M545" s="87"/>
      <c r="N545" s="87"/>
      <c r="O545" s="87"/>
      <c r="P545" s="221" t="s">
        <v>183</v>
      </c>
      <c r="Q545" s="76"/>
      <c r="R545" s="77"/>
      <c r="S545" s="50"/>
    </row>
    <row r="546" spans="1:19" s="236" customFormat="1" ht="39.75" customHeight="1" x14ac:dyDescent="0.25">
      <c r="A546" s="230"/>
      <c r="B546" s="237"/>
      <c r="C546" s="131" t="s">
        <v>48</v>
      </c>
      <c r="D546" s="99" t="s">
        <v>195</v>
      </c>
      <c r="E546" s="231">
        <v>1067.06</v>
      </c>
      <c r="F546" s="94">
        <v>5.6</v>
      </c>
      <c r="G546" s="94">
        <f>706.18*5.6</f>
        <v>3954.6079999999993</v>
      </c>
      <c r="H546" s="94">
        <f>706.18*82</f>
        <v>57906.759999999995</v>
      </c>
      <c r="I546" s="232">
        <f>E546*5.6</f>
        <v>5975.5359999999991</v>
      </c>
      <c r="J546" s="232">
        <f>E546*82</f>
        <v>87498.92</v>
      </c>
      <c r="K546" s="232"/>
      <c r="L546" s="232"/>
      <c r="M546" s="232"/>
      <c r="N546" s="232"/>
      <c r="O546" s="232"/>
      <c r="P546" s="220">
        <v>0</v>
      </c>
      <c r="Q546" s="247"/>
      <c r="R546" s="248"/>
      <c r="S546" s="235"/>
    </row>
    <row r="547" spans="1:19" s="2" customFormat="1" ht="39.75" customHeight="1" x14ac:dyDescent="0.25">
      <c r="A547" s="18"/>
      <c r="B547" s="122"/>
      <c r="C547" s="132" t="s">
        <v>48</v>
      </c>
      <c r="D547" s="100" t="s">
        <v>196</v>
      </c>
      <c r="E547" s="89">
        <f>SUM(E545:E546)</f>
        <v>34975.039999999994</v>
      </c>
      <c r="F547" s="89"/>
      <c r="G547" s="87">
        <f>SUM(G545:G546)</f>
        <v>125063.22470000001</v>
      </c>
      <c r="H547" s="87">
        <f>SUM(H545:H546)</f>
        <v>1259043.3</v>
      </c>
      <c r="I547" s="87">
        <v>5975.54</v>
      </c>
      <c r="J547" s="87">
        <v>87498.92</v>
      </c>
      <c r="K547" s="87"/>
      <c r="L547" s="87"/>
      <c r="M547" s="87"/>
      <c r="N547" s="87"/>
      <c r="O547" s="87"/>
      <c r="P547" s="221" t="s">
        <v>183</v>
      </c>
      <c r="Q547" s="76"/>
      <c r="R547" s="77"/>
      <c r="S547" s="50"/>
    </row>
    <row r="548" spans="1:19" s="236" customFormat="1" ht="39.75" customHeight="1" x14ac:dyDescent="0.25">
      <c r="A548" s="230"/>
      <c r="B548" s="237"/>
      <c r="C548" s="131" t="s">
        <v>48</v>
      </c>
      <c r="D548" s="99" t="s">
        <v>201</v>
      </c>
      <c r="E548" s="231">
        <v>949.18</v>
      </c>
      <c r="F548" s="94">
        <v>5.6</v>
      </c>
      <c r="G548" s="232">
        <f>1393.22*5.6</f>
        <v>7802.0319999999992</v>
      </c>
      <c r="H548" s="232">
        <f>1393.22*82</f>
        <v>114244.04000000001</v>
      </c>
      <c r="I548" s="232">
        <f>623.02*5.6</f>
        <v>3488.9119999999998</v>
      </c>
      <c r="J548" s="232">
        <f>623.02*82</f>
        <v>51087.64</v>
      </c>
      <c r="K548" s="232"/>
      <c r="L548" s="232"/>
      <c r="M548" s="232"/>
      <c r="N548" s="232"/>
      <c r="O548" s="232"/>
      <c r="P548" s="233" t="s">
        <v>205</v>
      </c>
      <c r="Q548" s="247"/>
      <c r="R548" s="248"/>
      <c r="S548" s="235"/>
    </row>
    <row r="549" spans="1:19" s="2" customFormat="1" ht="39.75" customHeight="1" x14ac:dyDescent="0.25">
      <c r="A549" s="18"/>
      <c r="B549" s="122"/>
      <c r="C549" s="132" t="s">
        <v>48</v>
      </c>
      <c r="D549" s="100" t="s">
        <v>202</v>
      </c>
      <c r="E549" s="89">
        <f>SUM(E547:E548)</f>
        <v>35924.219999999994</v>
      </c>
      <c r="F549" s="89"/>
      <c r="G549" s="87">
        <f>SUM(G547:G548)</f>
        <v>132865.2567</v>
      </c>
      <c r="H549" s="87">
        <f>SUM(H547:H548)</f>
        <v>1373287.34</v>
      </c>
      <c r="I549" s="87">
        <v>3488.91</v>
      </c>
      <c r="J549" s="87">
        <v>51087.64</v>
      </c>
      <c r="K549" s="87"/>
      <c r="L549" s="87"/>
      <c r="M549" s="87"/>
      <c r="N549" s="87"/>
      <c r="O549" s="87"/>
      <c r="P549" s="221" t="s">
        <v>206</v>
      </c>
      <c r="Q549" s="76"/>
      <c r="R549" s="77"/>
      <c r="S549" s="50"/>
    </row>
    <row r="550" spans="1:19" s="236" customFormat="1" ht="39.75" customHeight="1" x14ac:dyDescent="0.25">
      <c r="A550" s="230"/>
      <c r="B550" s="237"/>
      <c r="C550" s="131" t="s">
        <v>48</v>
      </c>
      <c r="D550" s="99" t="s">
        <v>208</v>
      </c>
      <c r="E550" s="231">
        <v>751.76</v>
      </c>
      <c r="F550" s="94">
        <v>5.6</v>
      </c>
      <c r="G550" s="232"/>
      <c r="H550" s="232"/>
      <c r="I550" s="232">
        <f>751.76*5.6</f>
        <v>4209.8559999999998</v>
      </c>
      <c r="J550" s="232">
        <f>751.76*95</f>
        <v>71417.2</v>
      </c>
      <c r="K550" s="232"/>
      <c r="L550" s="232"/>
      <c r="M550" s="232"/>
      <c r="N550" s="232"/>
      <c r="O550" s="232"/>
      <c r="P550" s="233"/>
      <c r="Q550" s="247"/>
      <c r="R550" s="248"/>
      <c r="S550" s="235"/>
    </row>
    <row r="551" spans="1:19" s="2" customFormat="1" ht="39.75" customHeight="1" x14ac:dyDescent="0.25">
      <c r="A551" s="18"/>
      <c r="B551" s="122"/>
      <c r="C551" s="132" t="s">
        <v>48</v>
      </c>
      <c r="D551" s="100" t="s">
        <v>209</v>
      </c>
      <c r="E551" s="89">
        <f>SUM(E549:E550)</f>
        <v>36675.979999999996</v>
      </c>
      <c r="F551" s="89"/>
      <c r="G551" s="87">
        <f>SUM(G549:G550)</f>
        <v>132865.2567</v>
      </c>
      <c r="H551" s="87">
        <f>SUM(H549:H550)</f>
        <v>1373287.34</v>
      </c>
      <c r="I551" s="87">
        <f>SUM(I549:I550)</f>
        <v>7698.7659999999996</v>
      </c>
      <c r="J551" s="87">
        <f>SUM(J549:J550)</f>
        <v>122504.84</v>
      </c>
      <c r="K551" s="87"/>
      <c r="L551" s="87"/>
      <c r="M551" s="87"/>
      <c r="N551" s="87"/>
      <c r="O551" s="87"/>
      <c r="P551" s="221" t="s">
        <v>206</v>
      </c>
      <c r="Q551" s="76"/>
      <c r="R551" s="77"/>
      <c r="S551" s="50"/>
    </row>
    <row r="552" spans="1:19" s="236" customFormat="1" ht="39.75" customHeight="1" x14ac:dyDescent="0.25">
      <c r="A552" s="230"/>
      <c r="B552" s="237"/>
      <c r="C552" s="131" t="s">
        <v>48</v>
      </c>
      <c r="D552" s="99" t="s">
        <v>215</v>
      </c>
      <c r="E552" s="231">
        <v>1076.02</v>
      </c>
      <c r="F552" s="94">
        <v>5.6</v>
      </c>
      <c r="G552" s="232">
        <f>1104.56*5.6</f>
        <v>6185.5359999999991</v>
      </c>
      <c r="H552" s="232">
        <f>51087.64+481.54*95</f>
        <v>96833.94</v>
      </c>
      <c r="I552" s="232">
        <f>1346.24*5.6</f>
        <v>7538.9439999999995</v>
      </c>
      <c r="J552" s="232">
        <f>1346.24*95</f>
        <v>127892.8</v>
      </c>
      <c r="K552" s="232"/>
      <c r="L552" s="232"/>
      <c r="M552" s="232"/>
      <c r="N552" s="232"/>
      <c r="O552" s="232"/>
      <c r="P552" s="233"/>
      <c r="Q552" s="247"/>
      <c r="R552" s="248"/>
      <c r="S552" s="235"/>
    </row>
    <row r="553" spans="1:19" s="2" customFormat="1" ht="39.75" customHeight="1" x14ac:dyDescent="0.25">
      <c r="A553" s="18"/>
      <c r="B553" s="122"/>
      <c r="C553" s="132" t="s">
        <v>48</v>
      </c>
      <c r="D553" s="100" t="s">
        <v>216</v>
      </c>
      <c r="E553" s="89">
        <f>SUM(E551:E552)</f>
        <v>37751.999999999993</v>
      </c>
      <c r="F553" s="89"/>
      <c r="G553" s="87">
        <f>SUM(G551:G552)</f>
        <v>139050.79269999999</v>
      </c>
      <c r="H553" s="87">
        <f>SUM(H551:H552)</f>
        <v>1470121.28</v>
      </c>
      <c r="I553" s="87">
        <v>7538.94</v>
      </c>
      <c r="J553" s="87">
        <v>127892.8</v>
      </c>
      <c r="K553" s="87"/>
      <c r="L553" s="87"/>
      <c r="M553" s="87"/>
      <c r="N553" s="87"/>
      <c r="O553" s="87"/>
      <c r="P553" s="221" t="s">
        <v>206</v>
      </c>
      <c r="Q553" s="76"/>
      <c r="R553" s="77"/>
      <c r="S553" s="50"/>
    </row>
    <row r="554" spans="1:19" s="2" customFormat="1" ht="39.75" customHeight="1" x14ac:dyDescent="0.25">
      <c r="A554" s="20"/>
      <c r="B554" s="129"/>
      <c r="C554" s="131" t="s">
        <v>48</v>
      </c>
      <c r="D554" s="99" t="s">
        <v>218</v>
      </c>
      <c r="E554" s="93">
        <v>1067.57</v>
      </c>
      <c r="F554" s="94">
        <v>5.6</v>
      </c>
      <c r="G554" s="94">
        <f>7538.94+317.6*5.6</f>
        <v>9317.5</v>
      </c>
      <c r="H554" s="94">
        <f>127892.8+317.6*95</f>
        <v>158064.80000000002</v>
      </c>
      <c r="I554" s="94">
        <f>749.97*5.6</f>
        <v>4199.8320000000003</v>
      </c>
      <c r="J554" s="94">
        <f>749.97*95</f>
        <v>71247.150000000009</v>
      </c>
      <c r="K554" s="94"/>
      <c r="L554" s="94"/>
      <c r="M554" s="94"/>
      <c r="N554" s="94"/>
      <c r="O554" s="94"/>
      <c r="P554" s="220"/>
      <c r="Q554" s="73"/>
      <c r="R554" s="74"/>
      <c r="S554" s="47"/>
    </row>
    <row r="555" spans="1:19" s="2" customFormat="1" ht="39.75" customHeight="1" x14ac:dyDescent="0.25">
      <c r="A555" s="18"/>
      <c r="B555" s="122"/>
      <c r="C555" s="132" t="s">
        <v>48</v>
      </c>
      <c r="D555" s="100" t="s">
        <v>219</v>
      </c>
      <c r="E555" s="89">
        <f>SUM(E553:E554)</f>
        <v>38819.569999999992</v>
      </c>
      <c r="F555" s="89"/>
      <c r="G555" s="87">
        <f>SUM(G553:G554)</f>
        <v>148368.29269999999</v>
      </c>
      <c r="H555" s="87">
        <f>SUM(H553:H554)</f>
        <v>1628186.08</v>
      </c>
      <c r="I555" s="87">
        <v>4199.83</v>
      </c>
      <c r="J555" s="87">
        <v>71247.149999999994</v>
      </c>
      <c r="K555" s="87"/>
      <c r="L555" s="87"/>
      <c r="M555" s="87"/>
      <c r="N555" s="87"/>
      <c r="O555" s="87"/>
      <c r="P555" s="221" t="s">
        <v>206</v>
      </c>
      <c r="Q555" s="76"/>
      <c r="R555" s="77"/>
      <c r="S555" s="50"/>
    </row>
    <row r="556" spans="1:19" s="236" customFormat="1" ht="39.75" customHeight="1" x14ac:dyDescent="0.25">
      <c r="A556" s="230"/>
      <c r="B556" s="237"/>
      <c r="C556" s="131" t="s">
        <v>48</v>
      </c>
      <c r="D556" s="99" t="s">
        <v>227</v>
      </c>
      <c r="E556" s="231">
        <v>960.5</v>
      </c>
      <c r="F556" s="94">
        <v>5.6</v>
      </c>
      <c r="G556" s="232">
        <f>4199.83+708.46*5.6</f>
        <v>8167.2060000000001</v>
      </c>
      <c r="H556" s="232">
        <f>71247.15+708.46*95</f>
        <v>138550.84999999998</v>
      </c>
      <c r="I556" s="232">
        <f>252.04*5.6</f>
        <v>1411.424</v>
      </c>
      <c r="J556" s="232">
        <f>252.04*95</f>
        <v>23943.8</v>
      </c>
      <c r="K556" s="232"/>
      <c r="L556" s="232"/>
      <c r="M556" s="232"/>
      <c r="N556" s="232"/>
      <c r="O556" s="232"/>
      <c r="P556" s="233" t="s">
        <v>241</v>
      </c>
      <c r="Q556" s="247"/>
      <c r="R556" s="248"/>
      <c r="S556" s="235"/>
    </row>
    <row r="557" spans="1:19" s="2" customFormat="1" ht="39.75" customHeight="1" x14ac:dyDescent="0.25">
      <c r="A557" s="18"/>
      <c r="B557" s="122"/>
      <c r="C557" s="132" t="s">
        <v>48</v>
      </c>
      <c r="D557" s="100" t="s">
        <v>228</v>
      </c>
      <c r="E557" s="89">
        <f>SUM(E555:E556)</f>
        <v>39780.069999999992</v>
      </c>
      <c r="F557" s="89"/>
      <c r="G557" s="87">
        <f>SUM(G555:G556)</f>
        <v>156535.4987</v>
      </c>
      <c r="H557" s="87">
        <f>SUM(H555:H556)</f>
        <v>1766736.9300000002</v>
      </c>
      <c r="I557" s="87">
        <v>1411.42</v>
      </c>
      <c r="J557" s="87">
        <v>23943.8</v>
      </c>
      <c r="K557" s="87"/>
      <c r="L557" s="87"/>
      <c r="M557" s="87"/>
      <c r="N557" s="87"/>
      <c r="O557" s="87"/>
      <c r="P557" s="221" t="s">
        <v>240</v>
      </c>
      <c r="Q557" s="76"/>
      <c r="R557" s="77"/>
      <c r="S557" s="50"/>
    </row>
    <row r="558" spans="1:19" s="2" customFormat="1" ht="39.75" customHeight="1" x14ac:dyDescent="0.25">
      <c r="A558" s="18"/>
      <c r="B558" s="122"/>
      <c r="C558" s="132" t="s">
        <v>48</v>
      </c>
      <c r="D558" s="100" t="s">
        <v>245</v>
      </c>
      <c r="E558" s="89">
        <v>49443.25</v>
      </c>
      <c r="F558" s="89"/>
      <c r="G558" s="87">
        <v>160458.69</v>
      </c>
      <c r="H558" s="87">
        <v>2196292.8199999998</v>
      </c>
      <c r="I558" s="87">
        <v>227425.19</v>
      </c>
      <c r="J558" s="87">
        <v>2708682.83</v>
      </c>
      <c r="K558" s="87"/>
      <c r="L558" s="87"/>
      <c r="M558" s="87"/>
      <c r="N558" s="87"/>
      <c r="O558" s="87"/>
      <c r="P558" s="221" t="s">
        <v>255</v>
      </c>
      <c r="Q558" s="76"/>
      <c r="R558" s="77"/>
      <c r="S558" s="50"/>
    </row>
    <row r="559" spans="1:19" x14ac:dyDescent="0.25">
      <c r="A559" s="23"/>
      <c r="B559" s="23"/>
      <c r="C559" s="23"/>
      <c r="D559" s="36"/>
      <c r="E559" s="5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72"/>
      <c r="S559" s="55"/>
    </row>
    <row r="560" spans="1:19" ht="27" customHeight="1" x14ac:dyDescent="0.25">
      <c r="A560" s="16"/>
      <c r="B560" s="115" t="s">
        <v>40</v>
      </c>
      <c r="C560" s="136" t="s">
        <v>49</v>
      </c>
      <c r="D560" s="160">
        <v>2011</v>
      </c>
      <c r="E560" s="161">
        <v>127.12</v>
      </c>
      <c r="F560" s="141">
        <v>3.18</v>
      </c>
      <c r="G560" s="94">
        <f>E560*F560</f>
        <v>404.24160000000006</v>
      </c>
      <c r="H560" s="94">
        <v>381.36</v>
      </c>
      <c r="I560" s="84"/>
      <c r="J560" s="84"/>
      <c r="K560" s="84"/>
      <c r="L560" s="119"/>
      <c r="M560" s="119"/>
      <c r="N560" s="119"/>
      <c r="O560" s="119"/>
      <c r="P560" s="84">
        <v>0</v>
      </c>
      <c r="Q560" s="38"/>
      <c r="R560" s="75"/>
      <c r="S560" s="51"/>
    </row>
    <row r="561" spans="1:19" ht="34.5" customHeight="1" x14ac:dyDescent="0.25">
      <c r="A561" s="16"/>
      <c r="B561" s="119"/>
      <c r="C561" s="136" t="s">
        <v>49</v>
      </c>
      <c r="D561" s="160">
        <v>2012</v>
      </c>
      <c r="E561" s="161">
        <v>492.1</v>
      </c>
      <c r="F561" s="141">
        <v>3.18</v>
      </c>
      <c r="G561" s="94">
        <f>E561*F561</f>
        <v>1564.8780000000002</v>
      </c>
      <c r="H561" s="94">
        <v>4428.8999999999996</v>
      </c>
      <c r="I561" s="84"/>
      <c r="J561" s="84"/>
      <c r="K561" s="84"/>
      <c r="L561" s="119"/>
      <c r="M561" s="119"/>
      <c r="N561" s="119"/>
      <c r="O561" s="119"/>
      <c r="P561" s="84">
        <v>0</v>
      </c>
      <c r="Q561" s="38"/>
      <c r="R561" s="75"/>
      <c r="S561" s="51"/>
    </row>
    <row r="562" spans="1:19" ht="39.75" customHeight="1" x14ac:dyDescent="0.25">
      <c r="A562" s="18"/>
      <c r="B562" s="122"/>
      <c r="C562" s="132" t="s">
        <v>49</v>
      </c>
      <c r="D562" s="96" t="s">
        <v>25</v>
      </c>
      <c r="E562" s="89">
        <f>SUM(E560:E561)</f>
        <v>619.22</v>
      </c>
      <c r="F562" s="89"/>
      <c r="G562" s="87">
        <f t="shared" ref="G562:H562" si="169">SUM(G560:G561)</f>
        <v>1969.1196000000002</v>
      </c>
      <c r="H562" s="87">
        <f t="shared" si="169"/>
        <v>4810.2599999999993</v>
      </c>
      <c r="I562" s="87"/>
      <c r="J562" s="87"/>
      <c r="K562" s="87"/>
      <c r="L562" s="122"/>
      <c r="M562" s="122"/>
      <c r="N562" s="122"/>
      <c r="O562" s="122"/>
      <c r="P562" s="87">
        <v>0</v>
      </c>
      <c r="Q562" s="76"/>
      <c r="R562" s="77"/>
      <c r="S562" s="50"/>
    </row>
    <row r="563" spans="1:19" ht="25.5" x14ac:dyDescent="0.25">
      <c r="A563" s="16"/>
      <c r="B563" s="119"/>
      <c r="C563" s="136" t="s">
        <v>49</v>
      </c>
      <c r="D563" s="160">
        <v>2013</v>
      </c>
      <c r="E563" s="161">
        <v>657.83600000000001</v>
      </c>
      <c r="F563" s="141">
        <v>3.18</v>
      </c>
      <c r="G563" s="94">
        <f>E563*F563</f>
        <v>2091.9184800000003</v>
      </c>
      <c r="H563" s="94">
        <v>9867.5400000000009</v>
      </c>
      <c r="I563" s="84"/>
      <c r="J563" s="84"/>
      <c r="K563" s="84"/>
      <c r="L563" s="119"/>
      <c r="M563" s="119"/>
      <c r="N563" s="119"/>
      <c r="O563" s="119"/>
      <c r="P563" s="94">
        <v>0</v>
      </c>
      <c r="Q563" s="38"/>
      <c r="R563" s="75"/>
      <c r="S563" s="51"/>
    </row>
    <row r="564" spans="1:19" ht="38.25" customHeight="1" x14ac:dyDescent="0.25">
      <c r="A564" s="18"/>
      <c r="B564" s="122"/>
      <c r="C564" s="132" t="s">
        <v>49</v>
      </c>
      <c r="D564" s="96" t="s">
        <v>38</v>
      </c>
      <c r="E564" s="89">
        <f>SUM(E562:E563)</f>
        <v>1277.056</v>
      </c>
      <c r="F564" s="89"/>
      <c r="G564" s="87">
        <f t="shared" ref="G564:H564" si="170">SUM(G562:G563)</f>
        <v>4061.0380800000003</v>
      </c>
      <c r="H564" s="87">
        <f t="shared" si="170"/>
        <v>14677.8</v>
      </c>
      <c r="I564" s="87"/>
      <c r="J564" s="87"/>
      <c r="K564" s="87"/>
      <c r="L564" s="122"/>
      <c r="M564" s="122"/>
      <c r="N564" s="122"/>
      <c r="O564" s="122"/>
      <c r="P564" s="87">
        <v>0</v>
      </c>
      <c r="Q564" s="76"/>
      <c r="R564" s="77"/>
      <c r="S564" s="50"/>
    </row>
    <row r="565" spans="1:19" ht="25.5" x14ac:dyDescent="0.25">
      <c r="A565" s="16"/>
      <c r="B565" s="119"/>
      <c r="C565" s="136" t="s">
        <v>49</v>
      </c>
      <c r="D565" s="160">
        <v>2014</v>
      </c>
      <c r="E565" s="161">
        <v>704.02</v>
      </c>
      <c r="F565" s="141">
        <v>3.18</v>
      </c>
      <c r="G565" s="94">
        <f>E565*F565</f>
        <v>2238.7836000000002</v>
      </c>
      <c r="H565" s="94">
        <v>15488.44</v>
      </c>
      <c r="I565" s="84"/>
      <c r="J565" s="84"/>
      <c r="K565" s="84"/>
      <c r="L565" s="119"/>
      <c r="M565" s="119"/>
      <c r="N565" s="119"/>
      <c r="O565" s="119"/>
      <c r="P565" s="94">
        <v>0</v>
      </c>
      <c r="Q565" s="38"/>
      <c r="R565" s="75"/>
      <c r="S565" s="51"/>
    </row>
    <row r="566" spans="1:19" ht="36" customHeight="1" x14ac:dyDescent="0.25">
      <c r="A566" s="18"/>
      <c r="B566" s="122"/>
      <c r="C566" s="132" t="s">
        <v>49</v>
      </c>
      <c r="D566" s="96" t="s">
        <v>24</v>
      </c>
      <c r="E566" s="89">
        <f>SUM(E564:E565)</f>
        <v>1981.076</v>
      </c>
      <c r="F566" s="89"/>
      <c r="G566" s="87">
        <f t="shared" ref="G566:H566" si="171">SUM(G564:G565)</f>
        <v>6299.8216800000009</v>
      </c>
      <c r="H566" s="87">
        <f t="shared" si="171"/>
        <v>30166.239999999998</v>
      </c>
      <c r="I566" s="87"/>
      <c r="J566" s="87"/>
      <c r="K566" s="87"/>
      <c r="L566" s="122"/>
      <c r="M566" s="122"/>
      <c r="N566" s="122"/>
      <c r="O566" s="122"/>
      <c r="P566" s="87">
        <v>0</v>
      </c>
      <c r="Q566" s="76"/>
      <c r="R566" s="77"/>
      <c r="S566" s="50"/>
    </row>
    <row r="567" spans="1:19" ht="25.5" x14ac:dyDescent="0.25">
      <c r="A567" s="16"/>
      <c r="B567" s="119"/>
      <c r="C567" s="136" t="s">
        <v>49</v>
      </c>
      <c r="D567" s="160">
        <v>2015</v>
      </c>
      <c r="E567" s="161">
        <v>773.8</v>
      </c>
      <c r="F567" s="141">
        <v>3.37</v>
      </c>
      <c r="G567" s="94">
        <f>E567*F567</f>
        <v>2607.7060000000001</v>
      </c>
      <c r="H567" s="94">
        <v>21666.400000000001</v>
      </c>
      <c r="I567" s="84"/>
      <c r="J567" s="84"/>
      <c r="K567" s="84"/>
      <c r="L567" s="119"/>
      <c r="M567" s="119"/>
      <c r="N567" s="119"/>
      <c r="O567" s="119"/>
      <c r="P567" s="94">
        <v>0</v>
      </c>
      <c r="Q567" s="38"/>
      <c r="R567" s="75"/>
      <c r="S567" s="51"/>
    </row>
    <row r="568" spans="1:19" ht="38.25" customHeight="1" x14ac:dyDescent="0.25">
      <c r="A568" s="18"/>
      <c r="B568" s="122"/>
      <c r="C568" s="132" t="s">
        <v>49</v>
      </c>
      <c r="D568" s="96" t="s">
        <v>26</v>
      </c>
      <c r="E568" s="89">
        <f>SUM(E566:E567)</f>
        <v>2754.8760000000002</v>
      </c>
      <c r="F568" s="89"/>
      <c r="G568" s="87">
        <f t="shared" ref="G568:H568" si="172">SUM(G566:G567)</f>
        <v>8907.5276800000011</v>
      </c>
      <c r="H568" s="87">
        <f t="shared" si="172"/>
        <v>51832.639999999999</v>
      </c>
      <c r="I568" s="87"/>
      <c r="J568" s="87"/>
      <c r="K568" s="87"/>
      <c r="L568" s="122"/>
      <c r="M568" s="122"/>
      <c r="N568" s="122"/>
      <c r="O568" s="122"/>
      <c r="P568" s="87">
        <v>0</v>
      </c>
      <c r="Q568" s="76"/>
      <c r="R568" s="77"/>
      <c r="S568" s="50"/>
    </row>
    <row r="569" spans="1:19" ht="25.5" x14ac:dyDescent="0.25">
      <c r="A569" s="16"/>
      <c r="B569" s="119"/>
      <c r="C569" s="136" t="s">
        <v>49</v>
      </c>
      <c r="D569" s="99" t="s">
        <v>29</v>
      </c>
      <c r="E569" s="137">
        <v>164.42</v>
      </c>
      <c r="F569" s="141">
        <v>3.37</v>
      </c>
      <c r="G569" s="94">
        <f>E569*F569</f>
        <v>554.09539999999993</v>
      </c>
      <c r="H569" s="94">
        <v>5919.12</v>
      </c>
      <c r="I569" s="84"/>
      <c r="J569" s="84"/>
      <c r="K569" s="84"/>
      <c r="L569" s="119"/>
      <c r="M569" s="119"/>
      <c r="N569" s="119"/>
      <c r="O569" s="119"/>
      <c r="P569" s="94">
        <v>0</v>
      </c>
      <c r="Q569" s="38"/>
      <c r="R569" s="75"/>
      <c r="S569" s="51"/>
    </row>
    <row r="570" spans="1:19" ht="38.25" x14ac:dyDescent="0.25">
      <c r="A570" s="18"/>
      <c r="B570" s="122"/>
      <c r="C570" s="132" t="s">
        <v>49</v>
      </c>
      <c r="D570" s="100" t="s">
        <v>30</v>
      </c>
      <c r="E570" s="89">
        <f>SUM(E568:E569)</f>
        <v>2919.2960000000003</v>
      </c>
      <c r="F570" s="89"/>
      <c r="G570" s="87">
        <f t="shared" ref="G570:H570" si="173">SUM(G568:G569)</f>
        <v>9461.6230800000012</v>
      </c>
      <c r="H570" s="87">
        <f t="shared" si="173"/>
        <v>57751.76</v>
      </c>
      <c r="I570" s="87"/>
      <c r="J570" s="87"/>
      <c r="K570" s="87"/>
      <c r="L570" s="122"/>
      <c r="M570" s="122"/>
      <c r="N570" s="122"/>
      <c r="O570" s="122"/>
      <c r="P570" s="87">
        <v>0</v>
      </c>
      <c r="Q570" s="76"/>
      <c r="R570" s="77"/>
      <c r="S570" s="50"/>
    </row>
    <row r="571" spans="1:19" ht="25.5" x14ac:dyDescent="0.25">
      <c r="A571" s="16"/>
      <c r="B571" s="119"/>
      <c r="C571" s="136" t="s">
        <v>49</v>
      </c>
      <c r="D571" s="99" t="s">
        <v>31</v>
      </c>
      <c r="E571" s="137">
        <v>214.72</v>
      </c>
      <c r="F571" s="141">
        <v>3.37</v>
      </c>
      <c r="G571" s="94">
        <f>E571*F571</f>
        <v>723.60640000000001</v>
      </c>
      <c r="H571" s="94">
        <v>7729.92</v>
      </c>
      <c r="I571" s="84"/>
      <c r="J571" s="84"/>
      <c r="K571" s="84"/>
      <c r="L571" s="119"/>
      <c r="M571" s="119"/>
      <c r="N571" s="119"/>
      <c r="O571" s="119"/>
      <c r="P571" s="94">
        <v>0</v>
      </c>
      <c r="Q571" s="38"/>
      <c r="R571" s="75"/>
      <c r="S571" s="51"/>
    </row>
    <row r="572" spans="1:19" ht="38.25" x14ac:dyDescent="0.25">
      <c r="A572" s="16"/>
      <c r="B572" s="119"/>
      <c r="C572" s="136" t="s">
        <v>68</v>
      </c>
      <c r="D572" s="99"/>
      <c r="E572" s="137">
        <v>10.36</v>
      </c>
      <c r="F572" s="84">
        <v>0</v>
      </c>
      <c r="G572" s="94">
        <v>0</v>
      </c>
      <c r="H572" s="94">
        <v>0</v>
      </c>
      <c r="I572" s="84"/>
      <c r="J572" s="84"/>
      <c r="K572" s="84"/>
      <c r="L572" s="119"/>
      <c r="M572" s="119"/>
      <c r="N572" s="119"/>
      <c r="O572" s="119"/>
      <c r="P572" s="94"/>
      <c r="Q572" s="38"/>
      <c r="R572" s="75"/>
      <c r="S572" s="51"/>
    </row>
    <row r="573" spans="1:19" ht="39" customHeight="1" x14ac:dyDescent="0.25">
      <c r="A573" s="18"/>
      <c r="B573" s="122"/>
      <c r="C573" s="132" t="s">
        <v>49</v>
      </c>
      <c r="D573" s="100" t="s">
        <v>32</v>
      </c>
      <c r="E573" s="89">
        <f>SUM(E570:E572)</f>
        <v>3144.3760000000002</v>
      </c>
      <c r="F573" s="89"/>
      <c r="G573" s="87">
        <f t="shared" ref="G573:H573" si="174">SUM(G570:G572)</f>
        <v>10185.229480000002</v>
      </c>
      <c r="H573" s="87">
        <f t="shared" si="174"/>
        <v>65481.68</v>
      </c>
      <c r="I573" s="87"/>
      <c r="J573" s="87"/>
      <c r="K573" s="87"/>
      <c r="L573" s="122"/>
      <c r="M573" s="122"/>
      <c r="N573" s="122"/>
      <c r="O573" s="122"/>
      <c r="P573" s="87">
        <v>0</v>
      </c>
      <c r="Q573" s="76"/>
      <c r="R573" s="77"/>
      <c r="S573" s="50"/>
    </row>
    <row r="574" spans="1:19" ht="25.5" x14ac:dyDescent="0.25">
      <c r="A574" s="16"/>
      <c r="B574" s="119"/>
      <c r="C574" s="136" t="s">
        <v>49</v>
      </c>
      <c r="D574" s="99" t="s">
        <v>33</v>
      </c>
      <c r="E574" s="137">
        <v>226.66</v>
      </c>
      <c r="F574" s="141">
        <v>3.37</v>
      </c>
      <c r="G574" s="94">
        <f>E574*F574</f>
        <v>763.8442</v>
      </c>
      <c r="H574" s="94">
        <v>8159.76</v>
      </c>
      <c r="I574" s="84"/>
      <c r="J574" s="84"/>
      <c r="K574" s="84"/>
      <c r="L574" s="119"/>
      <c r="M574" s="119"/>
      <c r="N574" s="119"/>
      <c r="O574" s="119"/>
      <c r="P574" s="94">
        <v>0</v>
      </c>
      <c r="Q574" s="38"/>
      <c r="R574" s="75"/>
      <c r="S574" s="51"/>
    </row>
    <row r="575" spans="1:19" ht="38.25" x14ac:dyDescent="0.25">
      <c r="A575" s="18"/>
      <c r="B575" s="122"/>
      <c r="C575" s="132" t="s">
        <v>49</v>
      </c>
      <c r="D575" s="100" t="s">
        <v>35</v>
      </c>
      <c r="E575" s="89">
        <f>SUM(E573:E574)</f>
        <v>3371.0360000000001</v>
      </c>
      <c r="F575" s="89"/>
      <c r="G575" s="87">
        <f t="shared" ref="G575:H575" si="175">SUM(G573:G574)</f>
        <v>10949.073680000001</v>
      </c>
      <c r="H575" s="87">
        <f t="shared" si="175"/>
        <v>73641.440000000002</v>
      </c>
      <c r="I575" s="87"/>
      <c r="J575" s="87"/>
      <c r="K575" s="87"/>
      <c r="L575" s="122"/>
      <c r="M575" s="122"/>
      <c r="N575" s="122"/>
      <c r="O575" s="122"/>
      <c r="P575" s="87">
        <v>0</v>
      </c>
      <c r="Q575" s="76"/>
      <c r="R575" s="77"/>
      <c r="S575" s="50"/>
    </row>
    <row r="576" spans="1:19" ht="25.5" x14ac:dyDescent="0.25">
      <c r="A576" s="16"/>
      <c r="B576" s="119"/>
      <c r="C576" s="136" t="s">
        <v>49</v>
      </c>
      <c r="D576" s="99" t="s">
        <v>34</v>
      </c>
      <c r="E576" s="137">
        <v>202.8</v>
      </c>
      <c r="F576" s="141">
        <v>3.37</v>
      </c>
      <c r="G576" s="94">
        <f>E576*F576</f>
        <v>683.43600000000004</v>
      </c>
      <c r="H576" s="94">
        <v>7300.8</v>
      </c>
      <c r="I576" s="84"/>
      <c r="J576" s="84"/>
      <c r="K576" s="84"/>
      <c r="L576" s="119"/>
      <c r="M576" s="119"/>
      <c r="N576" s="119"/>
      <c r="O576" s="119"/>
      <c r="P576" s="84">
        <v>15360</v>
      </c>
      <c r="Q576" s="38"/>
      <c r="R576" s="75"/>
      <c r="S576" s="51"/>
    </row>
    <row r="577" spans="1:19" ht="38.25" x14ac:dyDescent="0.25">
      <c r="A577" s="18"/>
      <c r="B577" s="122"/>
      <c r="C577" s="132" t="s">
        <v>49</v>
      </c>
      <c r="D577" s="100" t="s">
        <v>36</v>
      </c>
      <c r="E577" s="89">
        <f>SUM(E575:E576)</f>
        <v>3573.8360000000002</v>
      </c>
      <c r="F577" s="89"/>
      <c r="G577" s="87">
        <f t="shared" ref="G577:H577" si="176">SUM(G575:G576)</f>
        <v>11632.509680000001</v>
      </c>
      <c r="H577" s="87">
        <f t="shared" si="176"/>
        <v>80942.240000000005</v>
      </c>
      <c r="I577" s="87"/>
      <c r="J577" s="87"/>
      <c r="K577" s="87"/>
      <c r="L577" s="122"/>
      <c r="M577" s="122"/>
      <c r="N577" s="122"/>
      <c r="O577" s="122"/>
      <c r="P577" s="87">
        <v>15360</v>
      </c>
      <c r="Q577" s="76"/>
      <c r="R577" s="77"/>
      <c r="S577" s="50"/>
    </row>
    <row r="578" spans="1:19" s="2" customFormat="1" ht="25.5" x14ac:dyDescent="0.25">
      <c r="A578" s="20"/>
      <c r="B578" s="129"/>
      <c r="C578" s="136" t="s">
        <v>49</v>
      </c>
      <c r="D578" s="99" t="s">
        <v>57</v>
      </c>
      <c r="E578" s="93">
        <v>170.86</v>
      </c>
      <c r="F578" s="94">
        <v>3.37</v>
      </c>
      <c r="G578" s="94">
        <f>E578*F578</f>
        <v>575.79820000000007</v>
      </c>
      <c r="H578" s="94">
        <v>6834.4</v>
      </c>
      <c r="I578" s="94"/>
      <c r="J578" s="94"/>
      <c r="K578" s="94"/>
      <c r="L578" s="129"/>
      <c r="M578" s="129"/>
      <c r="N578" s="129"/>
      <c r="O578" s="129"/>
      <c r="P578" s="94">
        <v>0</v>
      </c>
      <c r="Q578" s="73"/>
      <c r="R578" s="74"/>
      <c r="S578" s="47"/>
    </row>
    <row r="579" spans="1:19" s="2" customFormat="1" ht="43.5" customHeight="1" x14ac:dyDescent="0.25">
      <c r="A579" s="18"/>
      <c r="B579" s="122"/>
      <c r="C579" s="132" t="s">
        <v>49</v>
      </c>
      <c r="D579" s="100" t="s">
        <v>58</v>
      </c>
      <c r="E579" s="89">
        <f>SUM(E577:E578)</f>
        <v>3744.6960000000004</v>
      </c>
      <c r="F579" s="89"/>
      <c r="G579" s="87">
        <f t="shared" ref="G579:H579" si="177">SUM(G577:G578)</f>
        <v>12208.30788</v>
      </c>
      <c r="H579" s="87">
        <f t="shared" si="177"/>
        <v>87776.639999999999</v>
      </c>
      <c r="I579" s="87"/>
      <c r="J579" s="87"/>
      <c r="K579" s="87"/>
      <c r="L579" s="122"/>
      <c r="M579" s="122"/>
      <c r="N579" s="122"/>
      <c r="O579" s="122"/>
      <c r="P579" s="87">
        <v>15360</v>
      </c>
      <c r="Q579" s="76"/>
      <c r="R579" s="77"/>
      <c r="S579" s="50"/>
    </row>
    <row r="580" spans="1:19" s="2" customFormat="1" ht="25.5" x14ac:dyDescent="0.25">
      <c r="A580" s="20"/>
      <c r="B580" s="129"/>
      <c r="C580" s="136" t="s">
        <v>49</v>
      </c>
      <c r="D580" s="99" t="s">
        <v>61</v>
      </c>
      <c r="E580" s="93">
        <v>219.16</v>
      </c>
      <c r="F580" s="94">
        <v>3.37</v>
      </c>
      <c r="G580" s="94">
        <f>E580*F580</f>
        <v>738.56920000000002</v>
      </c>
      <c r="H580" s="94">
        <v>8766.4</v>
      </c>
      <c r="I580" s="94"/>
      <c r="J580" s="94"/>
      <c r="K580" s="94"/>
      <c r="L580" s="129"/>
      <c r="M580" s="129"/>
      <c r="N580" s="129"/>
      <c r="O580" s="129"/>
      <c r="P580" s="94">
        <v>23370.71</v>
      </c>
      <c r="Q580" s="73"/>
      <c r="R580" s="74"/>
      <c r="S580" s="47"/>
    </row>
    <row r="581" spans="1:19" s="2" customFormat="1" ht="39.75" customHeight="1" x14ac:dyDescent="0.25">
      <c r="A581" s="18"/>
      <c r="B581" s="122"/>
      <c r="C581" s="132" t="s">
        <v>49</v>
      </c>
      <c r="D581" s="100" t="s">
        <v>63</v>
      </c>
      <c r="E581" s="89">
        <f>SUM(E579:E580)</f>
        <v>3963.8560000000002</v>
      </c>
      <c r="F581" s="89"/>
      <c r="G581" s="87">
        <f t="shared" ref="G581:H581" si="178">SUM(G579:G580)</f>
        <v>12946.87708</v>
      </c>
      <c r="H581" s="87">
        <f t="shared" si="178"/>
        <v>96543.039999999994</v>
      </c>
      <c r="I581" s="87"/>
      <c r="J581" s="87"/>
      <c r="K581" s="87"/>
      <c r="L581" s="122"/>
      <c r="M581" s="122"/>
      <c r="N581" s="122"/>
      <c r="O581" s="122"/>
      <c r="P581" s="87">
        <f>SUM(P579:P580)</f>
        <v>38730.71</v>
      </c>
      <c r="Q581" s="76"/>
      <c r="R581" s="77"/>
      <c r="S581" s="50"/>
    </row>
    <row r="582" spans="1:19" s="2" customFormat="1" ht="26.25" customHeight="1" x14ac:dyDescent="0.25">
      <c r="A582" s="20"/>
      <c r="B582" s="129"/>
      <c r="C582" s="131" t="s">
        <v>49</v>
      </c>
      <c r="D582" s="99" t="s">
        <v>64</v>
      </c>
      <c r="E582" s="93">
        <v>265.82</v>
      </c>
      <c r="F582" s="94">
        <v>3.37</v>
      </c>
      <c r="G582" s="94">
        <f>E582*F582</f>
        <v>895.8134</v>
      </c>
      <c r="H582" s="94">
        <v>10632.8</v>
      </c>
      <c r="I582" s="94"/>
      <c r="J582" s="94"/>
      <c r="K582" s="94"/>
      <c r="L582" s="129"/>
      <c r="M582" s="129"/>
      <c r="N582" s="129"/>
      <c r="O582" s="129"/>
      <c r="P582" s="94">
        <v>0</v>
      </c>
      <c r="Q582" s="73"/>
      <c r="R582" s="74"/>
      <c r="S582" s="47"/>
    </row>
    <row r="583" spans="1:19" s="2" customFormat="1" ht="39" customHeight="1" x14ac:dyDescent="0.25">
      <c r="A583" s="20"/>
      <c r="B583" s="129"/>
      <c r="C583" s="131" t="s">
        <v>68</v>
      </c>
      <c r="D583" s="104"/>
      <c r="E583" s="93">
        <v>2.78</v>
      </c>
      <c r="F583" s="94">
        <v>0</v>
      </c>
      <c r="G583" s="94">
        <v>0</v>
      </c>
      <c r="H583" s="94">
        <v>0</v>
      </c>
      <c r="I583" s="94"/>
      <c r="J583" s="94"/>
      <c r="K583" s="94"/>
      <c r="L583" s="129"/>
      <c r="M583" s="129"/>
      <c r="N583" s="129"/>
      <c r="O583" s="129"/>
      <c r="P583" s="94"/>
      <c r="Q583" s="73"/>
      <c r="R583" s="74"/>
      <c r="S583" s="47"/>
    </row>
    <row r="584" spans="1:19" s="2" customFormat="1" ht="39.75" customHeight="1" x14ac:dyDescent="0.25">
      <c r="A584" s="18"/>
      <c r="B584" s="122"/>
      <c r="C584" s="132" t="s">
        <v>49</v>
      </c>
      <c r="D584" s="100" t="s">
        <v>65</v>
      </c>
      <c r="E584" s="89">
        <f>SUM(E581:E583)</f>
        <v>4232.4560000000001</v>
      </c>
      <c r="F584" s="89"/>
      <c r="G584" s="87">
        <f t="shared" ref="G584:H584" si="179">SUM(G581:G583)</f>
        <v>13842.690480000001</v>
      </c>
      <c r="H584" s="87">
        <f t="shared" si="179"/>
        <v>107175.84</v>
      </c>
      <c r="I584" s="87"/>
      <c r="J584" s="87"/>
      <c r="K584" s="87"/>
      <c r="L584" s="122"/>
      <c r="M584" s="122"/>
      <c r="N584" s="122"/>
      <c r="O584" s="122"/>
      <c r="P584" s="87">
        <v>38730.71</v>
      </c>
      <c r="Q584" s="76"/>
      <c r="R584" s="77"/>
      <c r="S584" s="50"/>
    </row>
    <row r="585" spans="1:19" s="2" customFormat="1" ht="27" customHeight="1" x14ac:dyDescent="0.25">
      <c r="A585" s="20"/>
      <c r="B585" s="129"/>
      <c r="C585" s="136" t="s">
        <v>49</v>
      </c>
      <c r="D585" s="99" t="s">
        <v>70</v>
      </c>
      <c r="E585" s="93">
        <v>128.94</v>
      </c>
      <c r="F585" s="94">
        <v>3.37</v>
      </c>
      <c r="G585" s="94">
        <v>434.52780000000001</v>
      </c>
      <c r="H585" s="94">
        <v>5157.6000000000004</v>
      </c>
      <c r="I585" s="94"/>
      <c r="J585" s="94"/>
      <c r="K585" s="94"/>
      <c r="L585" s="129"/>
      <c r="M585" s="129"/>
      <c r="N585" s="129"/>
      <c r="O585" s="129"/>
      <c r="P585" s="94">
        <v>0</v>
      </c>
      <c r="Q585" s="73"/>
      <c r="R585" s="74"/>
      <c r="S585" s="47"/>
    </row>
    <row r="586" spans="1:19" s="2" customFormat="1" ht="39.75" customHeight="1" x14ac:dyDescent="0.25">
      <c r="A586" s="18"/>
      <c r="B586" s="122"/>
      <c r="C586" s="132" t="s">
        <v>49</v>
      </c>
      <c r="D586" s="100" t="s">
        <v>69</v>
      </c>
      <c r="E586" s="89">
        <f>SUM(E584:E585)</f>
        <v>4361.3959999999997</v>
      </c>
      <c r="F586" s="89"/>
      <c r="G586" s="87">
        <f t="shared" ref="G586:H586" si="180">SUM(G584:G585)</f>
        <v>14277.218280000001</v>
      </c>
      <c r="H586" s="87">
        <f t="shared" si="180"/>
        <v>112333.44</v>
      </c>
      <c r="I586" s="87"/>
      <c r="J586" s="87"/>
      <c r="K586" s="87"/>
      <c r="L586" s="122"/>
      <c r="M586" s="122"/>
      <c r="N586" s="122"/>
      <c r="O586" s="122"/>
      <c r="P586" s="87">
        <v>38730.71</v>
      </c>
      <c r="Q586" s="76"/>
      <c r="R586" s="77"/>
      <c r="S586" s="50"/>
    </row>
    <row r="587" spans="1:19" s="2" customFormat="1" ht="30" customHeight="1" x14ac:dyDescent="0.25">
      <c r="A587" s="20"/>
      <c r="B587" s="129"/>
      <c r="C587" s="131" t="s">
        <v>49</v>
      </c>
      <c r="D587" s="99" t="s">
        <v>71</v>
      </c>
      <c r="E587" s="93">
        <v>172.72</v>
      </c>
      <c r="F587" s="94">
        <v>3.45</v>
      </c>
      <c r="G587" s="94">
        <v>595.88400000000001</v>
      </c>
      <c r="H587" s="94">
        <v>7772.4</v>
      </c>
      <c r="I587" s="94"/>
      <c r="J587" s="94"/>
      <c r="K587" s="94"/>
      <c r="L587" s="129"/>
      <c r="M587" s="129"/>
      <c r="N587" s="129"/>
      <c r="O587" s="129"/>
      <c r="P587" s="94">
        <v>0</v>
      </c>
      <c r="Q587" s="73"/>
      <c r="R587" s="74"/>
      <c r="S587" s="47"/>
    </row>
    <row r="588" spans="1:19" s="2" customFormat="1" ht="39.75" customHeight="1" x14ac:dyDescent="0.25">
      <c r="A588" s="18"/>
      <c r="B588" s="122"/>
      <c r="C588" s="132" t="s">
        <v>49</v>
      </c>
      <c r="D588" s="100" t="s">
        <v>72</v>
      </c>
      <c r="E588" s="89">
        <f>SUM(E586:E587)</f>
        <v>4534.116</v>
      </c>
      <c r="F588" s="89"/>
      <c r="G588" s="87">
        <f t="shared" ref="G588:H588" si="181">SUM(G586:G587)</f>
        <v>14873.102280000001</v>
      </c>
      <c r="H588" s="87">
        <f t="shared" si="181"/>
        <v>120105.84</v>
      </c>
      <c r="I588" s="87"/>
      <c r="J588" s="87"/>
      <c r="K588" s="87"/>
      <c r="L588" s="122"/>
      <c r="M588" s="122"/>
      <c r="N588" s="122"/>
      <c r="O588" s="122"/>
      <c r="P588" s="87">
        <v>38730.71</v>
      </c>
      <c r="Q588" s="76"/>
      <c r="R588" s="77"/>
      <c r="S588" s="50"/>
    </row>
    <row r="589" spans="1:19" s="2" customFormat="1" ht="27.75" customHeight="1" x14ac:dyDescent="0.25">
      <c r="A589" s="20"/>
      <c r="B589" s="129"/>
      <c r="C589" s="131" t="s">
        <v>49</v>
      </c>
      <c r="D589" s="99" t="s">
        <v>73</v>
      </c>
      <c r="E589" s="93">
        <v>258.83999999999997</v>
      </c>
      <c r="F589" s="94">
        <v>3.45</v>
      </c>
      <c r="G589" s="94">
        <f>E589*F589</f>
        <v>892.99799999999993</v>
      </c>
      <c r="H589" s="94">
        <f>E589*45</f>
        <v>11647.8</v>
      </c>
      <c r="I589" s="94"/>
      <c r="J589" s="94"/>
      <c r="K589" s="94"/>
      <c r="L589" s="129"/>
      <c r="M589" s="129"/>
      <c r="N589" s="129"/>
      <c r="O589" s="129"/>
      <c r="P589" s="94">
        <v>0</v>
      </c>
      <c r="Q589" s="73"/>
      <c r="R589" s="74"/>
      <c r="S589" s="47"/>
    </row>
    <row r="590" spans="1:19" s="2" customFormat="1" ht="39.75" customHeight="1" x14ac:dyDescent="0.25">
      <c r="A590" s="18"/>
      <c r="B590" s="122"/>
      <c r="C590" s="132" t="s">
        <v>49</v>
      </c>
      <c r="D590" s="100" t="s">
        <v>74</v>
      </c>
      <c r="E590" s="89">
        <f>SUM(E588:E589)</f>
        <v>4792.9560000000001</v>
      </c>
      <c r="F590" s="89"/>
      <c r="G590" s="87">
        <f t="shared" ref="G590:H590" si="182">SUM(G588:G589)</f>
        <v>15766.100280000001</v>
      </c>
      <c r="H590" s="87">
        <f t="shared" si="182"/>
        <v>131753.63999999998</v>
      </c>
      <c r="I590" s="87"/>
      <c r="J590" s="87"/>
      <c r="K590" s="87"/>
      <c r="L590" s="87"/>
      <c r="M590" s="122"/>
      <c r="N590" s="122"/>
      <c r="O590" s="122"/>
      <c r="P590" s="87">
        <v>38730.71</v>
      </c>
      <c r="Q590" s="76"/>
      <c r="R590" s="77"/>
      <c r="S590" s="50"/>
    </row>
    <row r="591" spans="1:19" s="2" customFormat="1" ht="30.75" customHeight="1" x14ac:dyDescent="0.25">
      <c r="A591" s="20"/>
      <c r="B591" s="129"/>
      <c r="C591" s="131" t="s">
        <v>49</v>
      </c>
      <c r="D591" s="99" t="s">
        <v>76</v>
      </c>
      <c r="E591" s="93">
        <v>240.86</v>
      </c>
      <c r="F591" s="94">
        <v>3.45</v>
      </c>
      <c r="G591" s="94">
        <f>E591*F591</f>
        <v>830.9670000000001</v>
      </c>
      <c r="H591" s="94">
        <f>E591*45</f>
        <v>10838.7</v>
      </c>
      <c r="I591" s="94"/>
      <c r="J591" s="94"/>
      <c r="K591" s="94"/>
      <c r="L591" s="94"/>
      <c r="M591" s="129"/>
      <c r="N591" s="129"/>
      <c r="O591" s="129"/>
      <c r="P591" s="94">
        <v>0</v>
      </c>
      <c r="Q591" s="73"/>
      <c r="R591" s="74"/>
      <c r="S591" s="47"/>
    </row>
    <row r="592" spans="1:19" s="2" customFormat="1" ht="39.75" customHeight="1" x14ac:dyDescent="0.25">
      <c r="A592" s="20"/>
      <c r="B592" s="129"/>
      <c r="C592" s="131" t="s">
        <v>68</v>
      </c>
      <c r="D592" s="104"/>
      <c r="E592" s="93">
        <v>9.4</v>
      </c>
      <c r="F592" s="94">
        <v>0</v>
      </c>
      <c r="G592" s="94">
        <v>0</v>
      </c>
      <c r="H592" s="94">
        <v>0</v>
      </c>
      <c r="I592" s="94"/>
      <c r="J592" s="94"/>
      <c r="K592" s="94"/>
      <c r="L592" s="94"/>
      <c r="M592" s="129"/>
      <c r="N592" s="129"/>
      <c r="O592" s="129"/>
      <c r="P592" s="94"/>
      <c r="Q592" s="73"/>
      <c r="R592" s="74"/>
      <c r="S592" s="47"/>
    </row>
    <row r="593" spans="1:19" s="2" customFormat="1" ht="39.75" customHeight="1" x14ac:dyDescent="0.25">
      <c r="A593" s="18"/>
      <c r="B593" s="122"/>
      <c r="C593" s="132" t="s">
        <v>49</v>
      </c>
      <c r="D593" s="100" t="s">
        <v>77</v>
      </c>
      <c r="E593" s="89">
        <f>SUM(E590:E592)</f>
        <v>5043.2159999999994</v>
      </c>
      <c r="F593" s="89"/>
      <c r="G593" s="87">
        <f>SUM(G590:G592)</f>
        <v>16597.067279999999</v>
      </c>
      <c r="H593" s="87">
        <f>SUM(H590:H592)</f>
        <v>142592.34</v>
      </c>
      <c r="I593" s="87"/>
      <c r="J593" s="87"/>
      <c r="K593" s="87"/>
      <c r="L593" s="87"/>
      <c r="M593" s="122"/>
      <c r="N593" s="122"/>
      <c r="O593" s="122"/>
      <c r="P593" s="87">
        <v>38730.71</v>
      </c>
      <c r="Q593" s="76"/>
      <c r="R593" s="77"/>
      <c r="S593" s="50"/>
    </row>
    <row r="594" spans="1:19" s="2" customFormat="1" ht="29.25" customHeight="1" x14ac:dyDescent="0.25">
      <c r="A594" s="20"/>
      <c r="B594" s="129"/>
      <c r="C594" s="131" t="s">
        <v>49</v>
      </c>
      <c r="D594" s="99" t="s">
        <v>78</v>
      </c>
      <c r="E594" s="93">
        <v>68.739999999999995</v>
      </c>
      <c r="F594" s="94">
        <v>3.45</v>
      </c>
      <c r="G594" s="94">
        <f>E594*F594</f>
        <v>237.15299999999999</v>
      </c>
      <c r="H594" s="94">
        <f>E594*45</f>
        <v>3093.2999999999997</v>
      </c>
      <c r="I594" s="94"/>
      <c r="J594" s="94"/>
      <c r="K594" s="94"/>
      <c r="L594" s="94"/>
      <c r="M594" s="129"/>
      <c r="N594" s="129"/>
      <c r="O594" s="129"/>
      <c r="P594" s="94">
        <v>18722.68</v>
      </c>
      <c r="Q594" s="73"/>
      <c r="R594" s="74"/>
      <c r="S594" s="47"/>
    </row>
    <row r="595" spans="1:19" s="2" customFormat="1" ht="39.75" customHeight="1" x14ac:dyDescent="0.25">
      <c r="A595" s="18"/>
      <c r="B595" s="122"/>
      <c r="C595" s="132" t="s">
        <v>49</v>
      </c>
      <c r="D595" s="100" t="s">
        <v>79</v>
      </c>
      <c r="E595" s="89">
        <f>SUM(E593:E594)</f>
        <v>5111.9559999999992</v>
      </c>
      <c r="F595" s="89"/>
      <c r="G595" s="87">
        <f t="shared" ref="G595:H595" si="183">SUM(G593:G594)</f>
        <v>16834.220279999998</v>
      </c>
      <c r="H595" s="87">
        <f t="shared" si="183"/>
        <v>145685.63999999998</v>
      </c>
      <c r="I595" s="87"/>
      <c r="J595" s="87"/>
      <c r="K595" s="87"/>
      <c r="L595" s="87"/>
      <c r="M595" s="122"/>
      <c r="N595" s="122"/>
      <c r="O595" s="122"/>
      <c r="P595" s="87">
        <f>P593+P594</f>
        <v>57453.39</v>
      </c>
      <c r="Q595" s="76"/>
      <c r="R595" s="77"/>
      <c r="S595" s="50"/>
    </row>
    <row r="596" spans="1:19" s="2" customFormat="1" ht="26.25" customHeight="1" x14ac:dyDescent="0.25">
      <c r="A596" s="20"/>
      <c r="B596" s="129"/>
      <c r="C596" s="131" t="s">
        <v>49</v>
      </c>
      <c r="D596" s="99" t="s">
        <v>82</v>
      </c>
      <c r="E596" s="93">
        <v>73.319999999999993</v>
      </c>
      <c r="F596" s="94">
        <v>3.45</v>
      </c>
      <c r="G596" s="94">
        <f>E596*F596</f>
        <v>252.95399999999998</v>
      </c>
      <c r="H596" s="94">
        <f>E596*57</f>
        <v>4179.24</v>
      </c>
      <c r="I596" s="94"/>
      <c r="J596" s="94"/>
      <c r="K596" s="94"/>
      <c r="L596" s="94"/>
      <c r="M596" s="129"/>
      <c r="N596" s="129"/>
      <c r="O596" s="129"/>
      <c r="P596" s="94">
        <v>65650.820000000007</v>
      </c>
      <c r="Q596" s="73"/>
      <c r="R596" s="74"/>
      <c r="S596" s="47"/>
    </row>
    <row r="597" spans="1:19" s="2" customFormat="1" ht="39.75" customHeight="1" x14ac:dyDescent="0.25">
      <c r="A597" s="18"/>
      <c r="B597" s="122"/>
      <c r="C597" s="132" t="s">
        <v>49</v>
      </c>
      <c r="D597" s="100" t="s">
        <v>81</v>
      </c>
      <c r="E597" s="89">
        <f>SUM(E595:E596)</f>
        <v>5185.2759999999989</v>
      </c>
      <c r="F597" s="89"/>
      <c r="G597" s="87">
        <f t="shared" ref="G597:P597" si="184">SUM(G595:G596)</f>
        <v>17087.174279999999</v>
      </c>
      <c r="H597" s="87">
        <f t="shared" si="184"/>
        <v>149864.87999999998</v>
      </c>
      <c r="I597" s="87"/>
      <c r="J597" s="87"/>
      <c r="K597" s="87"/>
      <c r="L597" s="87"/>
      <c r="M597" s="87"/>
      <c r="N597" s="87"/>
      <c r="O597" s="87"/>
      <c r="P597" s="87">
        <f t="shared" si="184"/>
        <v>123104.21</v>
      </c>
      <c r="Q597" s="76"/>
      <c r="R597" s="77"/>
      <c r="S597" s="50"/>
    </row>
    <row r="598" spans="1:19" s="2" customFormat="1" ht="25.5" customHeight="1" x14ac:dyDescent="0.25">
      <c r="A598" s="20"/>
      <c r="B598" s="129"/>
      <c r="C598" s="131" t="s">
        <v>49</v>
      </c>
      <c r="D598" s="99" t="s">
        <v>84</v>
      </c>
      <c r="E598" s="93">
        <v>163.78</v>
      </c>
      <c r="F598" s="94">
        <v>3.45</v>
      </c>
      <c r="G598" s="94">
        <f>E598*F598</f>
        <v>565.04100000000005</v>
      </c>
      <c r="H598" s="94">
        <f>E598*57</f>
        <v>9335.4600000000009</v>
      </c>
      <c r="I598" s="94"/>
      <c r="J598" s="94"/>
      <c r="K598" s="94"/>
      <c r="L598" s="94"/>
      <c r="M598" s="94"/>
      <c r="N598" s="94"/>
      <c r="O598" s="94"/>
      <c r="P598" s="94">
        <v>0</v>
      </c>
      <c r="Q598" s="73"/>
      <c r="R598" s="74"/>
      <c r="S598" s="47"/>
    </row>
    <row r="599" spans="1:19" s="2" customFormat="1" ht="39.75" customHeight="1" x14ac:dyDescent="0.25">
      <c r="A599" s="18"/>
      <c r="B599" s="122"/>
      <c r="C599" s="132" t="s">
        <v>49</v>
      </c>
      <c r="D599" s="100" t="s">
        <v>86</v>
      </c>
      <c r="E599" s="89">
        <f>SUM(E597:E598)</f>
        <v>5349.0559999999987</v>
      </c>
      <c r="F599" s="89"/>
      <c r="G599" s="87">
        <f t="shared" ref="G599:P599" si="185">SUM(G597:G598)</f>
        <v>17652.21528</v>
      </c>
      <c r="H599" s="87">
        <f t="shared" si="185"/>
        <v>159200.33999999997</v>
      </c>
      <c r="I599" s="87"/>
      <c r="J599" s="87"/>
      <c r="K599" s="87"/>
      <c r="L599" s="87"/>
      <c r="M599" s="87"/>
      <c r="N599" s="87"/>
      <c r="O599" s="87"/>
      <c r="P599" s="87">
        <f t="shared" si="185"/>
        <v>123104.21</v>
      </c>
      <c r="Q599" s="76"/>
      <c r="R599" s="77"/>
      <c r="S599" s="50"/>
    </row>
    <row r="600" spans="1:19" s="2" customFormat="1" ht="28.5" customHeight="1" x14ac:dyDescent="0.25">
      <c r="A600" s="20"/>
      <c r="B600" s="129"/>
      <c r="C600" s="131" t="s">
        <v>49</v>
      </c>
      <c r="D600" s="99" t="s">
        <v>89</v>
      </c>
      <c r="E600" s="93">
        <v>282.06</v>
      </c>
      <c r="F600" s="94">
        <v>3.45</v>
      </c>
      <c r="G600" s="94">
        <f>E600*F600</f>
        <v>973.10700000000008</v>
      </c>
      <c r="H600" s="94">
        <f>E600*57</f>
        <v>16077.42</v>
      </c>
      <c r="I600" s="94"/>
      <c r="J600" s="94"/>
      <c r="K600" s="94"/>
      <c r="L600" s="94"/>
      <c r="M600" s="94"/>
      <c r="N600" s="94"/>
      <c r="O600" s="94"/>
      <c r="P600" s="94">
        <v>0</v>
      </c>
      <c r="Q600" s="73"/>
      <c r="R600" s="74"/>
      <c r="S600" s="47"/>
    </row>
    <row r="601" spans="1:19" s="2" customFormat="1" ht="39.75" customHeight="1" x14ac:dyDescent="0.25">
      <c r="A601" s="20"/>
      <c r="B601" s="129"/>
      <c r="C601" s="131" t="s">
        <v>68</v>
      </c>
      <c r="D601" s="104"/>
      <c r="E601" s="93">
        <v>3.08</v>
      </c>
      <c r="F601" s="93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73"/>
      <c r="R601" s="74"/>
      <c r="S601" s="47"/>
    </row>
    <row r="602" spans="1:19" s="2" customFormat="1" ht="39.75" customHeight="1" x14ac:dyDescent="0.25">
      <c r="A602" s="18"/>
      <c r="B602" s="122"/>
      <c r="C602" s="132" t="s">
        <v>49</v>
      </c>
      <c r="D602" s="100" t="s">
        <v>90</v>
      </c>
      <c r="E602" s="89">
        <f>SUM(E599:E601)</f>
        <v>5634.195999999999</v>
      </c>
      <c r="F602" s="89"/>
      <c r="G602" s="87">
        <f t="shared" ref="G602:P602" si="186">SUM(G599:G601)</f>
        <v>18625.32228</v>
      </c>
      <c r="H602" s="87">
        <f t="shared" si="186"/>
        <v>175277.75999999998</v>
      </c>
      <c r="I602" s="87"/>
      <c r="J602" s="87"/>
      <c r="K602" s="87"/>
      <c r="L602" s="87"/>
      <c r="M602" s="87"/>
      <c r="N602" s="87"/>
      <c r="O602" s="87"/>
      <c r="P602" s="87">
        <f t="shared" si="186"/>
        <v>123104.21</v>
      </c>
      <c r="Q602" s="76"/>
      <c r="R602" s="77"/>
      <c r="S602" s="50"/>
    </row>
    <row r="603" spans="1:19" s="2" customFormat="1" ht="31.5" customHeight="1" x14ac:dyDescent="0.25">
      <c r="A603" s="20"/>
      <c r="B603" s="129"/>
      <c r="C603" s="131" t="s">
        <v>49</v>
      </c>
      <c r="D603" s="99" t="s">
        <v>93</v>
      </c>
      <c r="E603" s="93">
        <v>227.34</v>
      </c>
      <c r="F603" s="94">
        <v>3.45</v>
      </c>
      <c r="G603" s="94">
        <f>E603*F603</f>
        <v>784.32300000000009</v>
      </c>
      <c r="H603" s="94">
        <f>E603*57</f>
        <v>12958.380000000001</v>
      </c>
      <c r="I603" s="94"/>
      <c r="J603" s="94"/>
      <c r="K603" s="94"/>
      <c r="L603" s="94"/>
      <c r="M603" s="94"/>
      <c r="N603" s="94"/>
      <c r="O603" s="94"/>
      <c r="P603" s="94">
        <v>0</v>
      </c>
      <c r="Q603" s="73"/>
      <c r="R603" s="74"/>
      <c r="S603" s="47"/>
    </row>
    <row r="604" spans="1:19" s="2" customFormat="1" ht="39.75" customHeight="1" x14ac:dyDescent="0.25">
      <c r="A604" s="18"/>
      <c r="B604" s="122"/>
      <c r="C604" s="132" t="s">
        <v>49</v>
      </c>
      <c r="D604" s="100" t="s">
        <v>94</v>
      </c>
      <c r="E604" s="89">
        <f>SUM(E602:E603)</f>
        <v>5861.5359999999991</v>
      </c>
      <c r="F604" s="89"/>
      <c r="G604" s="87">
        <f t="shared" ref="G604:H604" si="187">SUM(G602:G603)</f>
        <v>19409.645280000001</v>
      </c>
      <c r="H604" s="87">
        <f t="shared" si="187"/>
        <v>188236.13999999998</v>
      </c>
      <c r="I604" s="87"/>
      <c r="J604" s="87"/>
      <c r="K604" s="87"/>
      <c r="L604" s="87"/>
      <c r="M604" s="87"/>
      <c r="N604" s="87"/>
      <c r="O604" s="87"/>
      <c r="P604" s="87">
        <v>123104.21</v>
      </c>
      <c r="Q604" s="76"/>
      <c r="R604" s="77"/>
      <c r="S604" s="50"/>
    </row>
    <row r="605" spans="1:19" s="2" customFormat="1" ht="92.25" customHeight="1" x14ac:dyDescent="0.25">
      <c r="A605" s="20"/>
      <c r="B605" s="129"/>
      <c r="C605" s="131" t="s">
        <v>49</v>
      </c>
      <c r="D605" s="99" t="s">
        <v>96</v>
      </c>
      <c r="E605" s="93">
        <v>198.82</v>
      </c>
      <c r="F605" s="94">
        <v>5.6</v>
      </c>
      <c r="G605" s="94">
        <f>E605*F605</f>
        <v>1113.3919999999998</v>
      </c>
      <c r="H605" s="94">
        <v>18239.46</v>
      </c>
      <c r="I605" s="94"/>
      <c r="J605" s="94"/>
      <c r="K605" s="94"/>
      <c r="L605" s="94"/>
      <c r="M605" s="94"/>
      <c r="N605" s="94"/>
      <c r="O605" s="94"/>
      <c r="P605" s="220" t="s">
        <v>126</v>
      </c>
      <c r="Q605" s="73"/>
      <c r="R605" s="74"/>
      <c r="S605" s="217" t="s">
        <v>100</v>
      </c>
    </row>
    <row r="606" spans="1:19" s="2" customFormat="1" ht="42.75" customHeight="1" x14ac:dyDescent="0.25">
      <c r="A606" s="18"/>
      <c r="B606" s="122"/>
      <c r="C606" s="132" t="s">
        <v>49</v>
      </c>
      <c r="D606" s="100" t="s">
        <v>97</v>
      </c>
      <c r="E606" s="89">
        <f>SUM(E604:E605)</f>
        <v>6060.3559999999989</v>
      </c>
      <c r="F606" s="89"/>
      <c r="G606" s="87">
        <f t="shared" ref="G606:H606" si="188">SUM(G604:G605)</f>
        <v>20523.03728</v>
      </c>
      <c r="H606" s="87">
        <f t="shared" si="188"/>
        <v>206475.59999999998</v>
      </c>
      <c r="I606" s="87"/>
      <c r="J606" s="87"/>
      <c r="K606" s="87"/>
      <c r="L606" s="87"/>
      <c r="M606" s="87"/>
      <c r="N606" s="87"/>
      <c r="O606" s="87"/>
      <c r="P606" s="221" t="s">
        <v>127</v>
      </c>
      <c r="Q606" s="76"/>
      <c r="R606" s="77"/>
      <c r="S606" s="50"/>
    </row>
    <row r="607" spans="1:19" s="2" customFormat="1" ht="33" customHeight="1" x14ac:dyDescent="0.25">
      <c r="A607" s="20"/>
      <c r="B607" s="129"/>
      <c r="C607" s="131" t="s">
        <v>49</v>
      </c>
      <c r="D607" s="99" t="s">
        <v>119</v>
      </c>
      <c r="E607" s="93">
        <v>242.62</v>
      </c>
      <c r="F607" s="94">
        <v>5.6</v>
      </c>
      <c r="G607" s="94">
        <f>E607*F607</f>
        <v>1358.672</v>
      </c>
      <c r="H607" s="94">
        <f>E607*69</f>
        <v>16740.78</v>
      </c>
      <c r="I607" s="94"/>
      <c r="J607" s="94"/>
      <c r="K607" s="94"/>
      <c r="L607" s="94"/>
      <c r="M607" s="94"/>
      <c r="N607" s="94"/>
      <c r="O607" s="94"/>
      <c r="P607" s="220" t="s">
        <v>128</v>
      </c>
      <c r="Q607" s="73"/>
      <c r="R607" s="74"/>
      <c r="S607" s="47"/>
    </row>
    <row r="608" spans="1:19" s="2" customFormat="1" ht="42.75" customHeight="1" x14ac:dyDescent="0.25">
      <c r="A608" s="18"/>
      <c r="B608" s="122"/>
      <c r="C608" s="132" t="s">
        <v>49</v>
      </c>
      <c r="D608" s="100" t="s">
        <v>120</v>
      </c>
      <c r="E608" s="89">
        <f>SUM(E606:E607)</f>
        <v>6302.9759999999987</v>
      </c>
      <c r="F608" s="89"/>
      <c r="G608" s="87">
        <f t="shared" ref="G608:H608" si="189">SUM(G606:G607)</f>
        <v>21881.709279999999</v>
      </c>
      <c r="H608" s="87">
        <f t="shared" si="189"/>
        <v>223216.37999999998</v>
      </c>
      <c r="I608" s="87"/>
      <c r="J608" s="87"/>
      <c r="K608" s="87"/>
      <c r="L608" s="87"/>
      <c r="M608" s="87"/>
      <c r="N608" s="87"/>
      <c r="O608" s="87"/>
      <c r="P608" s="221" t="s">
        <v>136</v>
      </c>
      <c r="Q608" s="76"/>
      <c r="R608" s="77"/>
      <c r="S608" s="50"/>
    </row>
    <row r="609" spans="1:19" s="2" customFormat="1" ht="31.5" customHeight="1" x14ac:dyDescent="0.25">
      <c r="A609" s="20"/>
      <c r="B609" s="129"/>
      <c r="C609" s="131" t="s">
        <v>49</v>
      </c>
      <c r="D609" s="99" t="s">
        <v>139</v>
      </c>
      <c r="E609" s="93">
        <v>288.52</v>
      </c>
      <c r="F609" s="94">
        <v>5.6</v>
      </c>
      <c r="G609" s="94">
        <f>SUM(E609*F609)</f>
        <v>1615.7119999999998</v>
      </c>
      <c r="H609" s="94">
        <f>SUM(E609*69)</f>
        <v>19907.879999999997</v>
      </c>
      <c r="I609" s="94"/>
      <c r="J609" s="94"/>
      <c r="K609" s="94"/>
      <c r="L609" s="94"/>
      <c r="M609" s="94"/>
      <c r="N609" s="94"/>
      <c r="O609" s="94"/>
      <c r="P609" s="220">
        <v>0</v>
      </c>
      <c r="Q609" s="73"/>
      <c r="R609" s="74"/>
      <c r="S609" s="47"/>
    </row>
    <row r="610" spans="1:19" s="2" customFormat="1" ht="42.75" customHeight="1" x14ac:dyDescent="0.25">
      <c r="A610" s="18"/>
      <c r="B610" s="122"/>
      <c r="C610" s="132" t="s">
        <v>49</v>
      </c>
      <c r="D610" s="100" t="s">
        <v>140</v>
      </c>
      <c r="E610" s="89">
        <f>SUM(E608:E609)</f>
        <v>6591.4959999999992</v>
      </c>
      <c r="F610" s="89"/>
      <c r="G610" s="87">
        <f t="shared" ref="G610:H610" si="190">SUM(G608:G609)</f>
        <v>23497.421279999999</v>
      </c>
      <c r="H610" s="87">
        <f t="shared" si="190"/>
        <v>243124.25999999998</v>
      </c>
      <c r="I610" s="87"/>
      <c r="J610" s="87"/>
      <c r="K610" s="87"/>
      <c r="L610" s="87"/>
      <c r="M610" s="87"/>
      <c r="N610" s="87"/>
      <c r="O610" s="87"/>
      <c r="P610" s="221" t="s">
        <v>136</v>
      </c>
      <c r="Q610" s="76"/>
      <c r="R610" s="77"/>
      <c r="S610" s="50"/>
    </row>
    <row r="611" spans="1:19" s="2" customFormat="1" ht="47.25" customHeight="1" x14ac:dyDescent="0.25">
      <c r="A611" s="20"/>
      <c r="B611" s="129"/>
      <c r="C611" s="131" t="s">
        <v>49</v>
      </c>
      <c r="D611" s="99" t="s">
        <v>144</v>
      </c>
      <c r="E611" s="93">
        <v>250</v>
      </c>
      <c r="F611" s="94">
        <v>5.6</v>
      </c>
      <c r="G611" s="94">
        <f>SUM(E611*F611)</f>
        <v>1400</v>
      </c>
      <c r="H611" s="94">
        <f>SUM(E611*69)</f>
        <v>17250</v>
      </c>
      <c r="I611" s="180"/>
      <c r="K611" s="94"/>
      <c r="L611" s="94"/>
      <c r="M611" s="94"/>
      <c r="N611" s="94"/>
      <c r="O611" s="94"/>
      <c r="P611" s="220" t="s">
        <v>156</v>
      </c>
      <c r="Q611" s="73"/>
      <c r="R611" s="74"/>
      <c r="S611" s="47"/>
    </row>
    <row r="612" spans="1:19" s="2" customFormat="1" ht="42.75" customHeight="1" x14ac:dyDescent="0.25">
      <c r="A612" s="18"/>
      <c r="B612" s="122"/>
      <c r="C612" s="132" t="s">
        <v>49</v>
      </c>
      <c r="D612" s="100" t="s">
        <v>145</v>
      </c>
      <c r="E612" s="89">
        <f>SUM(E610:E611)</f>
        <v>6841.4959999999992</v>
      </c>
      <c r="F612" s="89"/>
      <c r="G612" s="87">
        <f>SUM(G610:G611)</f>
        <v>24897.421279999999</v>
      </c>
      <c r="H612" s="87">
        <f>SUM(H610:H611)</f>
        <v>260374.25999999998</v>
      </c>
      <c r="I612" s="87"/>
      <c r="J612" s="87"/>
      <c r="K612" s="87"/>
      <c r="L612" s="87"/>
      <c r="M612" s="87"/>
      <c r="N612" s="87"/>
      <c r="O612" s="87"/>
      <c r="P612" s="221" t="s">
        <v>163</v>
      </c>
      <c r="Q612" s="76"/>
      <c r="R612" s="77"/>
      <c r="S612" s="50"/>
    </row>
    <row r="613" spans="1:19" s="2" customFormat="1" ht="42.75" customHeight="1" x14ac:dyDescent="0.25">
      <c r="A613" s="20"/>
      <c r="B613" s="129"/>
      <c r="C613" s="131" t="s">
        <v>49</v>
      </c>
      <c r="D613" s="99" t="s">
        <v>165</v>
      </c>
      <c r="E613" s="93">
        <v>215.08</v>
      </c>
      <c r="F613" s="94">
        <v>5.6</v>
      </c>
      <c r="G613" s="94">
        <f>E613*F613</f>
        <v>1204.4480000000001</v>
      </c>
      <c r="H613" s="94">
        <f>E613*82</f>
        <v>17636.560000000001</v>
      </c>
      <c r="I613" s="94"/>
      <c r="J613" s="94"/>
      <c r="K613" s="94"/>
      <c r="L613" s="94"/>
      <c r="M613" s="94"/>
      <c r="N613" s="94"/>
      <c r="O613" s="94"/>
      <c r="P613" s="220" t="s">
        <v>184</v>
      </c>
      <c r="Q613" s="73"/>
      <c r="R613" s="74"/>
      <c r="S613" s="47"/>
    </row>
    <row r="614" spans="1:19" s="2" customFormat="1" ht="42.75" customHeight="1" x14ac:dyDescent="0.25">
      <c r="A614" s="18"/>
      <c r="B614" s="122"/>
      <c r="C614" s="132" t="s">
        <v>49</v>
      </c>
      <c r="D614" s="100" t="s">
        <v>167</v>
      </c>
      <c r="E614" s="89">
        <f>SUM(E612:E613)</f>
        <v>7056.5759999999991</v>
      </c>
      <c r="F614" s="89"/>
      <c r="G614" s="87">
        <f t="shared" ref="G614:H614" si="191">SUM(G612:G613)</f>
        <v>26101.869279999999</v>
      </c>
      <c r="H614" s="87">
        <f t="shared" si="191"/>
        <v>278010.82</v>
      </c>
      <c r="I614" s="87"/>
      <c r="J614" s="87"/>
      <c r="K614" s="87"/>
      <c r="L614" s="87"/>
      <c r="M614" s="87"/>
      <c r="N614" s="87"/>
      <c r="O614" s="87"/>
      <c r="P614" s="221" t="s">
        <v>185</v>
      </c>
      <c r="Q614" s="76"/>
      <c r="R614" s="77"/>
      <c r="S614" s="50"/>
    </row>
    <row r="615" spans="1:19" s="2" customFormat="1" ht="42.75" customHeight="1" x14ac:dyDescent="0.25">
      <c r="A615" s="20"/>
      <c r="B615" s="129"/>
      <c r="C615" s="131" t="s">
        <v>49</v>
      </c>
      <c r="D615" s="99" t="s">
        <v>166</v>
      </c>
      <c r="E615" s="93">
        <v>264.98</v>
      </c>
      <c r="F615" s="94">
        <v>5.6</v>
      </c>
      <c r="G615" s="94">
        <f>88.02*5.6</f>
        <v>492.91199999999992</v>
      </c>
      <c r="H615" s="94">
        <f>88.02*82</f>
        <v>7217.6399999999994</v>
      </c>
      <c r="I615" s="94">
        <f>176.96*5.6</f>
        <v>990.976</v>
      </c>
      <c r="J615" s="94">
        <f>176.96*82</f>
        <v>14510.720000000001</v>
      </c>
      <c r="K615" s="94"/>
      <c r="L615" s="94"/>
      <c r="M615" s="94"/>
      <c r="N615" s="94"/>
      <c r="O615" s="94"/>
      <c r="P615" s="220">
        <v>0</v>
      </c>
      <c r="Q615" s="73"/>
      <c r="R615" s="74"/>
      <c r="S615" s="47"/>
    </row>
    <row r="616" spans="1:19" s="2" customFormat="1" ht="42.75" customHeight="1" x14ac:dyDescent="0.25">
      <c r="A616" s="18"/>
      <c r="B616" s="122"/>
      <c r="C616" s="132" t="s">
        <v>49</v>
      </c>
      <c r="D616" s="100" t="s">
        <v>168</v>
      </c>
      <c r="E616" s="89">
        <f>SUM(E614:E615)</f>
        <v>7321.5559999999987</v>
      </c>
      <c r="F616" s="89"/>
      <c r="G616" s="87">
        <f t="shared" ref="G616:J616" si="192">SUM(G614:G615)</f>
        <v>26594.781279999999</v>
      </c>
      <c r="H616" s="87">
        <f t="shared" si="192"/>
        <v>285228.46000000002</v>
      </c>
      <c r="I616" s="87">
        <f t="shared" si="192"/>
        <v>990.976</v>
      </c>
      <c r="J616" s="87">
        <f t="shared" si="192"/>
        <v>14510.720000000001</v>
      </c>
      <c r="K616" s="87"/>
      <c r="L616" s="87"/>
      <c r="M616" s="87"/>
      <c r="N616" s="87"/>
      <c r="O616" s="87"/>
      <c r="P616" s="221" t="s">
        <v>185</v>
      </c>
      <c r="Q616" s="76"/>
      <c r="R616" s="77"/>
      <c r="S616" s="50"/>
    </row>
    <row r="617" spans="1:19" s="236" customFormat="1" ht="42.75" customHeight="1" x14ac:dyDescent="0.25">
      <c r="A617" s="230"/>
      <c r="B617" s="237"/>
      <c r="C617" s="131" t="s">
        <v>49</v>
      </c>
      <c r="D617" s="99" t="s">
        <v>195</v>
      </c>
      <c r="E617" s="231">
        <v>282.38</v>
      </c>
      <c r="F617" s="94">
        <v>5.6</v>
      </c>
      <c r="G617" s="94">
        <f>176.96*5.6</f>
        <v>990.976</v>
      </c>
      <c r="H617" s="94">
        <f>176.96*82</f>
        <v>14510.720000000001</v>
      </c>
      <c r="I617" s="232">
        <f>E617*5.6</f>
        <v>1581.328</v>
      </c>
      <c r="J617" s="232">
        <f>E617*82</f>
        <v>23155.16</v>
      </c>
      <c r="K617" s="232"/>
      <c r="L617" s="232"/>
      <c r="M617" s="232"/>
      <c r="N617" s="232"/>
      <c r="O617" s="232"/>
      <c r="P617" s="233" t="s">
        <v>199</v>
      </c>
      <c r="Q617" s="247"/>
      <c r="R617" s="248"/>
      <c r="S617" s="235"/>
    </row>
    <row r="618" spans="1:19" s="2" customFormat="1" ht="42.75" customHeight="1" x14ac:dyDescent="0.25">
      <c r="A618" s="18"/>
      <c r="B618" s="122"/>
      <c r="C618" s="132" t="s">
        <v>49</v>
      </c>
      <c r="D618" s="100" t="s">
        <v>196</v>
      </c>
      <c r="E618" s="89">
        <f>SUM(E616:E617)</f>
        <v>7603.9359999999988</v>
      </c>
      <c r="F618" s="89"/>
      <c r="G618" s="87">
        <f>SUM(G616:G617)</f>
        <v>27585.757279999998</v>
      </c>
      <c r="H618" s="87">
        <f>SUM(H616:H617)</f>
        <v>299739.18000000005</v>
      </c>
      <c r="I618" s="87">
        <v>1581.33</v>
      </c>
      <c r="J618" s="87">
        <v>23155.16</v>
      </c>
      <c r="K618" s="87"/>
      <c r="L618" s="87"/>
      <c r="M618" s="87"/>
      <c r="N618" s="87"/>
      <c r="O618" s="87"/>
      <c r="P618" s="221" t="s">
        <v>200</v>
      </c>
      <c r="Q618" s="76"/>
      <c r="R618" s="77"/>
      <c r="S618" s="50"/>
    </row>
    <row r="619" spans="1:19" s="236" customFormat="1" ht="42.75" customHeight="1" x14ac:dyDescent="0.25">
      <c r="A619" s="230"/>
      <c r="B619" s="237"/>
      <c r="C619" s="131" t="s">
        <v>49</v>
      </c>
      <c r="D619" s="99" t="s">
        <v>201</v>
      </c>
      <c r="E619" s="231">
        <v>241.97</v>
      </c>
      <c r="F619" s="94">
        <v>5.6</v>
      </c>
      <c r="G619" s="232">
        <f>361.44*5.6</f>
        <v>2024.0639999999999</v>
      </c>
      <c r="H619" s="232">
        <f>361.44*82</f>
        <v>29638.079999999998</v>
      </c>
      <c r="I619" s="232">
        <f>162.91*5.6</f>
        <v>912.29599999999994</v>
      </c>
      <c r="J619" s="232">
        <f>162.91*82</f>
        <v>13358.619999999999</v>
      </c>
      <c r="K619" s="232"/>
      <c r="L619" s="232"/>
      <c r="M619" s="232"/>
      <c r="N619" s="232"/>
      <c r="O619" s="232"/>
      <c r="P619" s="220">
        <v>0</v>
      </c>
      <c r="Q619" s="247"/>
      <c r="R619" s="248"/>
      <c r="S619" s="235"/>
    </row>
    <row r="620" spans="1:19" s="2" customFormat="1" ht="42.75" customHeight="1" x14ac:dyDescent="0.25">
      <c r="A620" s="18"/>
      <c r="B620" s="122"/>
      <c r="C620" s="132" t="s">
        <v>49</v>
      </c>
      <c r="D620" s="100" t="s">
        <v>202</v>
      </c>
      <c r="E620" s="89">
        <f>SUM(E618:E619)</f>
        <v>7845.905999999999</v>
      </c>
      <c r="F620" s="89"/>
      <c r="G620" s="87">
        <f>SUM(G618:G619)</f>
        <v>29609.821279999996</v>
      </c>
      <c r="H620" s="87">
        <f>SUM(H618:H619)</f>
        <v>329377.26000000007</v>
      </c>
      <c r="I620" s="87">
        <v>912.3</v>
      </c>
      <c r="J620" s="87">
        <v>13358.62</v>
      </c>
      <c r="K620" s="87"/>
      <c r="L620" s="87"/>
      <c r="M620" s="87"/>
      <c r="N620" s="87"/>
      <c r="O620" s="87"/>
      <c r="P620" s="221" t="s">
        <v>200</v>
      </c>
      <c r="Q620" s="76"/>
      <c r="R620" s="77"/>
      <c r="S620" s="50"/>
    </row>
    <row r="621" spans="1:19" s="236" customFormat="1" ht="42.75" customHeight="1" x14ac:dyDescent="0.25">
      <c r="A621" s="230"/>
      <c r="B621" s="237"/>
      <c r="C621" s="131" t="s">
        <v>49</v>
      </c>
      <c r="D621" s="99" t="s">
        <v>208</v>
      </c>
      <c r="E621" s="231">
        <v>182</v>
      </c>
      <c r="F621" s="94">
        <v>5.6</v>
      </c>
      <c r="G621" s="232"/>
      <c r="H621" s="232"/>
      <c r="I621" s="232">
        <f>182*5.6</f>
        <v>1019.1999999999999</v>
      </c>
      <c r="J621" s="232">
        <f>182*95</f>
        <v>17290</v>
      </c>
      <c r="K621" s="232"/>
      <c r="L621" s="232"/>
      <c r="M621" s="232"/>
      <c r="N621" s="232"/>
      <c r="O621" s="232"/>
      <c r="P621" s="233"/>
      <c r="Q621" s="247"/>
      <c r="R621" s="248"/>
      <c r="S621" s="235"/>
    </row>
    <row r="622" spans="1:19" s="2" customFormat="1" ht="42.75" customHeight="1" x14ac:dyDescent="0.25">
      <c r="A622" s="18"/>
      <c r="B622" s="122"/>
      <c r="C622" s="132" t="s">
        <v>49</v>
      </c>
      <c r="D622" s="100" t="s">
        <v>209</v>
      </c>
      <c r="E622" s="89">
        <f>SUM(E620:E621)</f>
        <v>8027.905999999999</v>
      </c>
      <c r="F622" s="89"/>
      <c r="G622" s="87">
        <f>SUM(G620:G621)</f>
        <v>29609.821279999996</v>
      </c>
      <c r="H622" s="87">
        <f>SUM(H620:H621)</f>
        <v>329377.26000000007</v>
      </c>
      <c r="I622" s="87">
        <f>SUM(I620:I621)</f>
        <v>1931.5</v>
      </c>
      <c r="J622" s="87">
        <f>SUM(J620:J621)</f>
        <v>30648.620000000003</v>
      </c>
      <c r="K622" s="87"/>
      <c r="L622" s="87"/>
      <c r="M622" s="87"/>
      <c r="N622" s="87"/>
      <c r="O622" s="87"/>
      <c r="P622" s="221" t="s">
        <v>200</v>
      </c>
      <c r="Q622" s="76"/>
      <c r="R622" s="77"/>
      <c r="S622" s="50"/>
    </row>
    <row r="623" spans="1:19" s="236" customFormat="1" ht="42.75" customHeight="1" x14ac:dyDescent="0.25">
      <c r="A623" s="230"/>
      <c r="B623" s="237"/>
      <c r="C623" s="131" t="s">
        <v>49</v>
      </c>
      <c r="D623" s="99" t="s">
        <v>215</v>
      </c>
      <c r="E623" s="231">
        <v>254.68</v>
      </c>
      <c r="F623" s="94">
        <v>5.6</v>
      </c>
      <c r="G623" s="232">
        <f>278.41*5.6</f>
        <v>1559.096</v>
      </c>
      <c r="H623" s="232">
        <f>13358.62+115.5*95</f>
        <v>24331.120000000003</v>
      </c>
      <c r="I623" s="232">
        <f>321.18*5.6</f>
        <v>1798.6079999999999</v>
      </c>
      <c r="J623" s="232">
        <f>321.18*95</f>
        <v>30512.100000000002</v>
      </c>
      <c r="K623" s="232"/>
      <c r="L623" s="232"/>
      <c r="M623" s="232"/>
      <c r="N623" s="232"/>
      <c r="O623" s="232"/>
      <c r="P623" s="233"/>
      <c r="Q623" s="247"/>
      <c r="R623" s="248"/>
      <c r="S623" s="235"/>
    </row>
    <row r="624" spans="1:19" s="2" customFormat="1" ht="42.75" customHeight="1" x14ac:dyDescent="0.25">
      <c r="A624" s="18"/>
      <c r="B624" s="122"/>
      <c r="C624" s="132" t="s">
        <v>49</v>
      </c>
      <c r="D624" s="100" t="s">
        <v>216</v>
      </c>
      <c r="E624" s="89">
        <f>SUM(E622:E623)</f>
        <v>8282.5859999999993</v>
      </c>
      <c r="F624" s="89"/>
      <c r="G624" s="87">
        <f>SUM(G622:G623)</f>
        <v>31168.917279999998</v>
      </c>
      <c r="H624" s="87">
        <f>SUM(H622:H623)</f>
        <v>353708.38000000006</v>
      </c>
      <c r="I624" s="87">
        <v>1798.61</v>
      </c>
      <c r="J624" s="87">
        <v>30512.1</v>
      </c>
      <c r="K624" s="87"/>
      <c r="L624" s="87"/>
      <c r="M624" s="87"/>
      <c r="N624" s="87"/>
      <c r="O624" s="87"/>
      <c r="P624" s="221" t="s">
        <v>200</v>
      </c>
      <c r="Q624" s="76"/>
      <c r="R624" s="77"/>
      <c r="S624" s="50"/>
    </row>
    <row r="625" spans="1:21" s="2" customFormat="1" ht="42.75" customHeight="1" x14ac:dyDescent="0.25">
      <c r="A625" s="20"/>
      <c r="B625" s="129"/>
      <c r="C625" s="131" t="s">
        <v>49</v>
      </c>
      <c r="D625" s="99" t="s">
        <v>218</v>
      </c>
      <c r="E625" s="93">
        <v>243.38</v>
      </c>
      <c r="F625" s="94">
        <v>5.6</v>
      </c>
      <c r="G625" s="94">
        <f>321.18*5.6</f>
        <v>1798.6079999999999</v>
      </c>
      <c r="H625" s="94">
        <f>321.18*95</f>
        <v>30512.100000000002</v>
      </c>
      <c r="I625" s="94">
        <f>243.38*5.6</f>
        <v>1362.9279999999999</v>
      </c>
      <c r="J625" s="94">
        <f>243.38*95</f>
        <v>23121.1</v>
      </c>
      <c r="K625" s="94"/>
      <c r="L625" s="94"/>
      <c r="M625" s="94"/>
      <c r="N625" s="94"/>
      <c r="O625" s="94"/>
      <c r="P625" s="220"/>
      <c r="Q625" s="73"/>
      <c r="R625" s="74"/>
      <c r="S625" s="47"/>
    </row>
    <row r="626" spans="1:21" s="2" customFormat="1" ht="42.75" customHeight="1" x14ac:dyDescent="0.25">
      <c r="A626" s="18"/>
      <c r="B626" s="122"/>
      <c r="C626" s="132" t="s">
        <v>49</v>
      </c>
      <c r="D626" s="100" t="s">
        <v>219</v>
      </c>
      <c r="E626" s="89">
        <f>SUM(E624:E625)</f>
        <v>8525.9659999999985</v>
      </c>
      <c r="F626" s="89"/>
      <c r="G626" s="87">
        <f>SUM(G624:G625)</f>
        <v>32967.525279999994</v>
      </c>
      <c r="H626" s="87">
        <f>SUM(H624:H625)</f>
        <v>384220.48000000004</v>
      </c>
      <c r="I626" s="87">
        <v>1362.93</v>
      </c>
      <c r="J626" s="87">
        <v>23121.1</v>
      </c>
      <c r="K626" s="87"/>
      <c r="L626" s="87"/>
      <c r="M626" s="87"/>
      <c r="N626" s="87"/>
      <c r="O626" s="87"/>
      <c r="P626" s="221" t="s">
        <v>200</v>
      </c>
      <c r="Q626" s="76"/>
      <c r="R626" s="77"/>
      <c r="S626" s="50"/>
    </row>
    <row r="627" spans="1:21" s="236" customFormat="1" ht="42.75" customHeight="1" x14ac:dyDescent="0.25">
      <c r="A627" s="230"/>
      <c r="B627" s="237"/>
      <c r="C627" s="131" t="s">
        <v>49</v>
      </c>
      <c r="D627" s="99" t="s">
        <v>227</v>
      </c>
      <c r="E627" s="231">
        <v>224.9</v>
      </c>
      <c r="F627" s="94">
        <v>5.6</v>
      </c>
      <c r="G627" s="232">
        <f>1362.93+154.42*5.6</f>
        <v>2227.6819999999998</v>
      </c>
      <c r="H627" s="232">
        <f>23121.1+154.42*95</f>
        <v>37791</v>
      </c>
      <c r="I627" s="232">
        <f>70.48*5.6</f>
        <v>394.68799999999999</v>
      </c>
      <c r="J627" s="232">
        <f>70.48*95</f>
        <v>6695.6</v>
      </c>
      <c r="K627" s="232"/>
      <c r="L627" s="232"/>
      <c r="M627" s="232"/>
      <c r="N627" s="232"/>
      <c r="O627" s="232"/>
      <c r="P627" s="233" t="s">
        <v>242</v>
      </c>
      <c r="Q627" s="247"/>
      <c r="R627" s="248"/>
      <c r="S627" s="235"/>
    </row>
    <row r="628" spans="1:21" s="2" customFormat="1" ht="42.75" customHeight="1" x14ac:dyDescent="0.25">
      <c r="A628" s="18"/>
      <c r="B628" s="122"/>
      <c r="C628" s="132" t="s">
        <v>49</v>
      </c>
      <c r="D628" s="100" t="s">
        <v>228</v>
      </c>
      <c r="E628" s="89">
        <f>SUM(E626:E627)</f>
        <v>8750.8659999999982</v>
      </c>
      <c r="F628" s="89"/>
      <c r="G628" s="87">
        <f>SUM(G626:G627)</f>
        <v>35195.207279999995</v>
      </c>
      <c r="H628" s="87">
        <f>SUM(H626:H627)</f>
        <v>422011.48000000004</v>
      </c>
      <c r="I628" s="87">
        <v>394.69</v>
      </c>
      <c r="J628" s="87">
        <v>6695.6</v>
      </c>
      <c r="K628" s="87"/>
      <c r="L628" s="87"/>
      <c r="M628" s="87"/>
      <c r="N628" s="87"/>
      <c r="O628" s="87"/>
      <c r="P628" s="221" t="s">
        <v>243</v>
      </c>
      <c r="Q628" s="76"/>
      <c r="R628" s="77"/>
      <c r="S628" s="50"/>
    </row>
    <row r="629" spans="1:21" s="2" customFormat="1" ht="42.75" customHeight="1" x14ac:dyDescent="0.25">
      <c r="A629" s="18"/>
      <c r="B629" s="122"/>
      <c r="C629" s="132" t="s">
        <v>49</v>
      </c>
      <c r="D629" s="100" t="s">
        <v>247</v>
      </c>
      <c r="E629" s="89">
        <v>10762.255999999999</v>
      </c>
      <c r="F629" s="89"/>
      <c r="G629" s="87">
        <v>48454.17</v>
      </c>
      <c r="H629" s="87">
        <v>541612.18999999994</v>
      </c>
      <c r="I629" s="87">
        <v>50051.79</v>
      </c>
      <c r="J629" s="87">
        <v>619789.13</v>
      </c>
      <c r="K629" s="87"/>
      <c r="L629" s="87"/>
      <c r="M629" s="87"/>
      <c r="N629" s="87"/>
      <c r="O629" s="87"/>
      <c r="P629" s="221" t="s">
        <v>256</v>
      </c>
      <c r="Q629" s="76"/>
      <c r="R629" s="77"/>
      <c r="S629" s="50"/>
    </row>
    <row r="630" spans="1:21" x14ac:dyDescent="0.25">
      <c r="A630" s="23"/>
      <c r="B630" s="23"/>
      <c r="C630" s="23"/>
      <c r="D630" s="36"/>
      <c r="E630" s="5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72"/>
      <c r="S630" s="55"/>
    </row>
    <row r="631" spans="1:21" ht="27" customHeight="1" x14ac:dyDescent="0.25">
      <c r="A631" s="16"/>
      <c r="B631" s="115" t="s">
        <v>40</v>
      </c>
      <c r="C631" s="136" t="s">
        <v>50</v>
      </c>
      <c r="D631" s="160">
        <v>2011</v>
      </c>
      <c r="E631" s="161">
        <v>79.16</v>
      </c>
      <c r="F631" s="141">
        <v>3.18</v>
      </c>
      <c r="G631" s="94">
        <f>E631*F631</f>
        <v>251.72880000000001</v>
      </c>
      <c r="H631" s="94">
        <v>237.48</v>
      </c>
      <c r="I631" s="84"/>
      <c r="J631" s="84"/>
      <c r="K631" s="84"/>
      <c r="L631" s="119"/>
      <c r="M631" s="119"/>
      <c r="N631" s="119"/>
      <c r="O631" s="119"/>
      <c r="P631" s="84">
        <v>0</v>
      </c>
      <c r="Q631" s="38"/>
      <c r="R631" s="75"/>
      <c r="S631" s="51"/>
    </row>
    <row r="632" spans="1:21" ht="30" customHeight="1" x14ac:dyDescent="0.25">
      <c r="A632" s="16"/>
      <c r="B632" s="119"/>
      <c r="C632" s="136" t="s">
        <v>50</v>
      </c>
      <c r="D632" s="160">
        <v>2012</v>
      </c>
      <c r="E632" s="161">
        <v>45.88</v>
      </c>
      <c r="F632" s="141">
        <v>3.18</v>
      </c>
      <c r="G632" s="94">
        <f>E632*F632</f>
        <v>145.89840000000001</v>
      </c>
      <c r="H632" s="94">
        <v>412.92</v>
      </c>
      <c r="I632" s="84"/>
      <c r="J632" s="84"/>
      <c r="K632" s="84"/>
      <c r="L632" s="119"/>
      <c r="M632" s="119"/>
      <c r="N632" s="119"/>
      <c r="O632" s="119"/>
      <c r="P632" s="84">
        <v>0</v>
      </c>
      <c r="Q632" s="38"/>
      <c r="R632" s="75"/>
      <c r="S632" s="51"/>
      <c r="U632" s="2"/>
    </row>
    <row r="633" spans="1:21" ht="38.25" customHeight="1" x14ac:dyDescent="0.25">
      <c r="A633" s="18"/>
      <c r="B633" s="122"/>
      <c r="C633" s="132" t="s">
        <v>50</v>
      </c>
      <c r="D633" s="96" t="s">
        <v>25</v>
      </c>
      <c r="E633" s="89">
        <f>SUM(E631:E632)</f>
        <v>125.03999999999999</v>
      </c>
      <c r="F633" s="89"/>
      <c r="G633" s="87">
        <f t="shared" ref="G633:H633" si="193">SUM(G631:G632)</f>
        <v>397.62720000000002</v>
      </c>
      <c r="H633" s="87">
        <f t="shared" si="193"/>
        <v>650.4</v>
      </c>
      <c r="I633" s="87"/>
      <c r="J633" s="87"/>
      <c r="K633" s="87"/>
      <c r="L633" s="122"/>
      <c r="M633" s="122"/>
      <c r="N633" s="122"/>
      <c r="O633" s="122"/>
      <c r="P633" s="87">
        <v>0</v>
      </c>
      <c r="Q633" s="76"/>
      <c r="R633" s="77"/>
      <c r="S633" s="50"/>
    </row>
    <row r="634" spans="1:21" ht="30" customHeight="1" x14ac:dyDescent="0.25">
      <c r="A634" s="16"/>
      <c r="B634" s="119"/>
      <c r="C634" s="136" t="s">
        <v>50</v>
      </c>
      <c r="D634" s="160">
        <v>2013</v>
      </c>
      <c r="E634" s="161">
        <v>63.84</v>
      </c>
      <c r="F634" s="141">
        <v>3.18</v>
      </c>
      <c r="G634" s="142">
        <f>E634*F634</f>
        <v>203.01120000000003</v>
      </c>
      <c r="H634" s="142">
        <v>957.6</v>
      </c>
      <c r="I634" s="92"/>
      <c r="J634" s="92"/>
      <c r="K634" s="84"/>
      <c r="L634" s="119"/>
      <c r="M634" s="119"/>
      <c r="N634" s="119"/>
      <c r="O634" s="119"/>
      <c r="P634" s="84">
        <v>0</v>
      </c>
      <c r="Q634" s="38"/>
      <c r="R634" s="75"/>
      <c r="S634" s="51"/>
    </row>
    <row r="635" spans="1:21" ht="39" customHeight="1" x14ac:dyDescent="0.25">
      <c r="A635" s="18"/>
      <c r="B635" s="122"/>
      <c r="C635" s="132" t="s">
        <v>50</v>
      </c>
      <c r="D635" s="96" t="s">
        <v>38</v>
      </c>
      <c r="E635" s="89">
        <f>SUM(E633:E634)</f>
        <v>188.88</v>
      </c>
      <c r="F635" s="89"/>
      <c r="G635" s="87">
        <f t="shared" ref="G635:H635" si="194">SUM(G633:G634)</f>
        <v>600.63840000000005</v>
      </c>
      <c r="H635" s="87">
        <f t="shared" si="194"/>
        <v>1608</v>
      </c>
      <c r="I635" s="87"/>
      <c r="J635" s="87"/>
      <c r="K635" s="87"/>
      <c r="L635" s="122"/>
      <c r="M635" s="122"/>
      <c r="N635" s="122"/>
      <c r="O635" s="122"/>
      <c r="P635" s="87">
        <v>0</v>
      </c>
      <c r="Q635" s="76"/>
      <c r="R635" s="77"/>
      <c r="S635" s="50"/>
    </row>
    <row r="636" spans="1:21" ht="30.75" customHeight="1" x14ac:dyDescent="0.25">
      <c r="A636" s="16"/>
      <c r="B636" s="119"/>
      <c r="C636" s="136" t="s">
        <v>50</v>
      </c>
      <c r="D636" s="160">
        <v>2014</v>
      </c>
      <c r="E636" s="161">
        <v>47.28</v>
      </c>
      <c r="F636" s="141">
        <v>3.18</v>
      </c>
      <c r="G636" s="94">
        <f>E636*F636</f>
        <v>150.35040000000001</v>
      </c>
      <c r="H636" s="94">
        <v>1040.1600000000001</v>
      </c>
      <c r="I636" s="84"/>
      <c r="J636" s="84"/>
      <c r="K636" s="84"/>
      <c r="L636" s="119"/>
      <c r="M636" s="119"/>
      <c r="N636" s="119"/>
      <c r="O636" s="119"/>
      <c r="P636" s="84">
        <v>0</v>
      </c>
      <c r="Q636" s="38"/>
      <c r="R636" s="75"/>
      <c r="S636" s="51"/>
    </row>
    <row r="637" spans="1:21" ht="37.5" customHeight="1" x14ac:dyDescent="0.25">
      <c r="A637" s="18"/>
      <c r="B637" s="122"/>
      <c r="C637" s="132" t="s">
        <v>50</v>
      </c>
      <c r="D637" s="96" t="s">
        <v>24</v>
      </c>
      <c r="E637" s="89">
        <f>SUM(E635:E636)</f>
        <v>236.16</v>
      </c>
      <c r="F637" s="89"/>
      <c r="G637" s="87">
        <f t="shared" ref="G637:H637" si="195">SUM(G635:G636)</f>
        <v>750.98880000000008</v>
      </c>
      <c r="H637" s="87">
        <f t="shared" si="195"/>
        <v>2648.16</v>
      </c>
      <c r="I637" s="87"/>
      <c r="J637" s="87"/>
      <c r="K637" s="87"/>
      <c r="L637" s="122"/>
      <c r="M637" s="122"/>
      <c r="N637" s="122"/>
      <c r="O637" s="122"/>
      <c r="P637" s="87">
        <v>0</v>
      </c>
      <c r="Q637" s="76"/>
      <c r="R637" s="77"/>
      <c r="S637" s="50"/>
    </row>
    <row r="638" spans="1:21" ht="27" customHeight="1" x14ac:dyDescent="0.25">
      <c r="A638" s="16"/>
      <c r="B638" s="119"/>
      <c r="C638" s="136" t="s">
        <v>50</v>
      </c>
      <c r="D638" s="160">
        <v>2015</v>
      </c>
      <c r="E638" s="161">
        <v>334.6</v>
      </c>
      <c r="F638" s="141">
        <v>3.37</v>
      </c>
      <c r="G638" s="94">
        <f>E638*F638</f>
        <v>1127.6020000000001</v>
      </c>
      <c r="H638" s="94">
        <v>9368.7999999999993</v>
      </c>
      <c r="I638" s="84"/>
      <c r="J638" s="84"/>
      <c r="K638" s="84"/>
      <c r="L638" s="119"/>
      <c r="M638" s="119"/>
      <c r="N638" s="119"/>
      <c r="O638" s="119"/>
      <c r="P638" s="84">
        <v>0</v>
      </c>
      <c r="Q638" s="38"/>
      <c r="R638" s="75"/>
      <c r="S638" s="51"/>
    </row>
    <row r="639" spans="1:21" ht="36" customHeight="1" x14ac:dyDescent="0.25">
      <c r="A639" s="18"/>
      <c r="B639" s="122"/>
      <c r="C639" s="132" t="s">
        <v>50</v>
      </c>
      <c r="D639" s="96" t="s">
        <v>26</v>
      </c>
      <c r="E639" s="89">
        <f>SUM(E637:E638)</f>
        <v>570.76</v>
      </c>
      <c r="F639" s="89"/>
      <c r="G639" s="87">
        <f t="shared" ref="G639:H639" si="196">SUM(G637:G638)</f>
        <v>1878.5908000000002</v>
      </c>
      <c r="H639" s="87">
        <f t="shared" si="196"/>
        <v>12016.96</v>
      </c>
      <c r="I639" s="87"/>
      <c r="J639" s="87"/>
      <c r="K639" s="87"/>
      <c r="L639" s="122"/>
      <c r="M639" s="122"/>
      <c r="N639" s="122"/>
      <c r="O639" s="122"/>
      <c r="P639" s="87">
        <v>0</v>
      </c>
      <c r="Q639" s="76"/>
      <c r="R639" s="77"/>
      <c r="S639" s="50"/>
    </row>
    <row r="640" spans="1:21" ht="29.25" customHeight="1" x14ac:dyDescent="0.25">
      <c r="A640" s="16"/>
      <c r="B640" s="119"/>
      <c r="C640" s="136" t="s">
        <v>50</v>
      </c>
      <c r="D640" s="99" t="s">
        <v>29</v>
      </c>
      <c r="E640" s="137">
        <v>114.82</v>
      </c>
      <c r="F640" s="92">
        <v>3.37</v>
      </c>
      <c r="G640" s="94">
        <f>E640*F640</f>
        <v>386.9434</v>
      </c>
      <c r="H640" s="94">
        <v>4133.5200000000004</v>
      </c>
      <c r="I640" s="84"/>
      <c r="J640" s="84"/>
      <c r="K640" s="84"/>
      <c r="L640" s="119"/>
      <c r="M640" s="119"/>
      <c r="N640" s="119"/>
      <c r="O640" s="119"/>
      <c r="P640" s="84">
        <v>0</v>
      </c>
      <c r="Q640" s="38"/>
      <c r="R640" s="75"/>
      <c r="S640" s="51"/>
    </row>
    <row r="641" spans="1:19" ht="38.25" x14ac:dyDescent="0.25">
      <c r="A641" s="18"/>
      <c r="B641" s="122"/>
      <c r="C641" s="132" t="s">
        <v>50</v>
      </c>
      <c r="D641" s="100" t="s">
        <v>30</v>
      </c>
      <c r="E641" s="89">
        <f>SUM(E639:E640)</f>
        <v>685.57999999999993</v>
      </c>
      <c r="F641" s="89"/>
      <c r="G641" s="87">
        <f t="shared" ref="G641:H641" si="197">SUM(G639:G640)</f>
        <v>2265.5342000000001</v>
      </c>
      <c r="H641" s="87">
        <f t="shared" si="197"/>
        <v>16150.48</v>
      </c>
      <c r="I641" s="87"/>
      <c r="J641" s="87"/>
      <c r="K641" s="87"/>
      <c r="L641" s="122"/>
      <c r="M641" s="122"/>
      <c r="N641" s="122"/>
      <c r="O641" s="122"/>
      <c r="P641" s="87">
        <v>0</v>
      </c>
      <c r="Q641" s="76"/>
      <c r="R641" s="77"/>
      <c r="S641" s="50"/>
    </row>
    <row r="642" spans="1:19" ht="27.75" customHeight="1" x14ac:dyDescent="0.25">
      <c r="A642" s="16"/>
      <c r="B642" s="119"/>
      <c r="C642" s="136" t="s">
        <v>50</v>
      </c>
      <c r="D642" s="99" t="s">
        <v>31</v>
      </c>
      <c r="E642" s="137">
        <v>145.1</v>
      </c>
      <c r="F642" s="92">
        <v>3.37</v>
      </c>
      <c r="G642" s="94">
        <f>E642*F642</f>
        <v>488.98700000000002</v>
      </c>
      <c r="H642" s="94">
        <v>5223.6000000000004</v>
      </c>
      <c r="I642" s="84"/>
      <c r="J642" s="84"/>
      <c r="K642" s="84"/>
      <c r="L642" s="119"/>
      <c r="M642" s="119"/>
      <c r="N642" s="119"/>
      <c r="O642" s="119"/>
      <c r="P642" s="84">
        <v>0</v>
      </c>
      <c r="Q642" s="38"/>
      <c r="R642" s="75"/>
      <c r="S642" s="51"/>
    </row>
    <row r="643" spans="1:19" ht="40.5" customHeight="1" x14ac:dyDescent="0.25">
      <c r="A643" s="16"/>
      <c r="B643" s="119"/>
      <c r="C643" s="99" t="s">
        <v>53</v>
      </c>
      <c r="E643" s="137">
        <v>11.68</v>
      </c>
      <c r="F643" s="84">
        <v>0</v>
      </c>
      <c r="G643" s="94">
        <v>0</v>
      </c>
      <c r="H643" s="94">
        <v>0</v>
      </c>
      <c r="I643" s="84"/>
      <c r="J643" s="84"/>
      <c r="K643" s="84"/>
      <c r="L643" s="119"/>
      <c r="M643" s="119"/>
      <c r="N643" s="119"/>
      <c r="O643" s="119"/>
      <c r="P643" s="84"/>
      <c r="Q643" s="38"/>
      <c r="R643" s="75"/>
      <c r="S643" s="51"/>
    </row>
    <row r="644" spans="1:19" ht="38.25" x14ac:dyDescent="0.25">
      <c r="A644" s="18"/>
      <c r="B644" s="122"/>
      <c r="C644" s="132" t="s">
        <v>50</v>
      </c>
      <c r="D644" s="100" t="s">
        <v>32</v>
      </c>
      <c r="E644" s="89">
        <f>SUM(E641:E643)</f>
        <v>842.3599999999999</v>
      </c>
      <c r="F644" s="89"/>
      <c r="G644" s="87">
        <f t="shared" ref="G644:H644" si="198">SUM(G641:G643)</f>
        <v>2754.5212000000001</v>
      </c>
      <c r="H644" s="87">
        <f t="shared" si="198"/>
        <v>21374.080000000002</v>
      </c>
      <c r="I644" s="87"/>
      <c r="J644" s="87"/>
      <c r="K644" s="87"/>
      <c r="L644" s="122"/>
      <c r="M644" s="122"/>
      <c r="N644" s="122"/>
      <c r="O644" s="122"/>
      <c r="P644" s="87">
        <v>0</v>
      </c>
      <c r="Q644" s="76"/>
      <c r="R644" s="77"/>
      <c r="S644" s="50"/>
    </row>
    <row r="645" spans="1:19" ht="29.25" customHeight="1" x14ac:dyDescent="0.25">
      <c r="A645" s="16"/>
      <c r="B645" s="119"/>
      <c r="C645" s="136" t="s">
        <v>50</v>
      </c>
      <c r="D645" s="99" t="s">
        <v>33</v>
      </c>
      <c r="E645" s="137">
        <v>175.3</v>
      </c>
      <c r="F645" s="92">
        <v>3.37</v>
      </c>
      <c r="G645" s="94">
        <f>E645*F645</f>
        <v>590.76100000000008</v>
      </c>
      <c r="H645" s="94">
        <v>6310.8</v>
      </c>
      <c r="I645" s="84"/>
      <c r="J645" s="84"/>
      <c r="K645" s="84"/>
      <c r="L645" s="119"/>
      <c r="M645" s="119"/>
      <c r="N645" s="119"/>
      <c r="O645" s="119"/>
      <c r="P645" s="84">
        <v>0</v>
      </c>
      <c r="Q645" s="38"/>
      <c r="R645" s="75"/>
      <c r="S645" s="51"/>
    </row>
    <row r="646" spans="1:19" ht="38.25" x14ac:dyDescent="0.25">
      <c r="A646" s="18"/>
      <c r="B646" s="122"/>
      <c r="C646" s="132" t="s">
        <v>50</v>
      </c>
      <c r="D646" s="100" t="s">
        <v>35</v>
      </c>
      <c r="E646" s="89">
        <f>SUM(E644:E645)</f>
        <v>1017.6599999999999</v>
      </c>
      <c r="F646" s="89"/>
      <c r="G646" s="87">
        <f t="shared" ref="G646:H646" si="199">SUM(G644:G645)</f>
        <v>3345.2822000000001</v>
      </c>
      <c r="H646" s="87">
        <f t="shared" si="199"/>
        <v>27684.880000000001</v>
      </c>
      <c r="I646" s="87"/>
      <c r="J646" s="87"/>
      <c r="K646" s="87"/>
      <c r="L646" s="122"/>
      <c r="M646" s="122"/>
      <c r="N646" s="122"/>
      <c r="O646" s="122"/>
      <c r="P646" s="87">
        <v>0</v>
      </c>
      <c r="Q646" s="76"/>
      <c r="R646" s="77"/>
      <c r="S646" s="50"/>
    </row>
    <row r="647" spans="1:19" ht="30.75" customHeight="1" x14ac:dyDescent="0.25">
      <c r="A647" s="16"/>
      <c r="B647" s="119"/>
      <c r="C647" s="136" t="s">
        <v>50</v>
      </c>
      <c r="D647" s="99" t="s">
        <v>34</v>
      </c>
      <c r="E647" s="137">
        <v>139.58000000000001</v>
      </c>
      <c r="F647" s="92">
        <v>3.37</v>
      </c>
      <c r="G647" s="94">
        <f>E647*F647</f>
        <v>470.38460000000003</v>
      </c>
      <c r="H647" s="94">
        <v>5024.88</v>
      </c>
      <c r="I647" s="84"/>
      <c r="J647" s="84"/>
      <c r="K647" s="84"/>
      <c r="L647" s="119"/>
      <c r="M647" s="119"/>
      <c r="N647" s="119"/>
      <c r="O647" s="119"/>
      <c r="P647" s="84">
        <v>0</v>
      </c>
      <c r="Q647" s="38"/>
      <c r="R647" s="75"/>
      <c r="S647" s="51"/>
    </row>
    <row r="648" spans="1:19" ht="38.25" x14ac:dyDescent="0.25">
      <c r="A648" s="18"/>
      <c r="B648" s="122"/>
      <c r="C648" s="132" t="s">
        <v>50</v>
      </c>
      <c r="D648" s="100" t="s">
        <v>36</v>
      </c>
      <c r="E648" s="89">
        <f>SUM(E646:E647)</f>
        <v>1157.2399999999998</v>
      </c>
      <c r="F648" s="89"/>
      <c r="G648" s="87">
        <f t="shared" ref="G648:H648" si="200">SUM(G646:G647)</f>
        <v>3815.6668</v>
      </c>
      <c r="H648" s="87">
        <f t="shared" si="200"/>
        <v>32709.760000000002</v>
      </c>
      <c r="I648" s="87"/>
      <c r="J648" s="87"/>
      <c r="K648" s="87"/>
      <c r="L648" s="122"/>
      <c r="M648" s="122"/>
      <c r="N648" s="122"/>
      <c r="O648" s="122"/>
      <c r="P648" s="87">
        <v>0</v>
      </c>
      <c r="Q648" s="76"/>
      <c r="R648" s="77"/>
      <c r="S648" s="50"/>
    </row>
    <row r="649" spans="1:19" s="2" customFormat="1" ht="29.25" customHeight="1" x14ac:dyDescent="0.25">
      <c r="A649" s="20"/>
      <c r="B649" s="129"/>
      <c r="C649" s="131" t="s">
        <v>50</v>
      </c>
      <c r="D649" s="99" t="s">
        <v>57</v>
      </c>
      <c r="E649" s="93">
        <v>120.62</v>
      </c>
      <c r="F649" s="94">
        <v>3.37</v>
      </c>
      <c r="G649" s="94">
        <f>E649*F649</f>
        <v>406.48940000000005</v>
      </c>
      <c r="H649" s="94">
        <v>4824.8</v>
      </c>
      <c r="I649" s="94"/>
      <c r="J649" s="94"/>
      <c r="K649" s="94"/>
      <c r="L649" s="129"/>
      <c r="M649" s="129"/>
      <c r="N649" s="129"/>
      <c r="O649" s="129"/>
      <c r="P649" s="94">
        <v>0</v>
      </c>
      <c r="Q649" s="73"/>
      <c r="R649" s="74"/>
      <c r="S649" s="47"/>
    </row>
    <row r="650" spans="1:19" s="2" customFormat="1" ht="38.25" x14ac:dyDescent="0.25">
      <c r="A650" s="18"/>
      <c r="B650" s="122"/>
      <c r="C650" s="132" t="s">
        <v>50</v>
      </c>
      <c r="D650" s="100" t="s">
        <v>58</v>
      </c>
      <c r="E650" s="89">
        <f>SUM(E648:E649)</f>
        <v>1277.8599999999997</v>
      </c>
      <c r="F650" s="89"/>
      <c r="G650" s="87">
        <f t="shared" ref="G650:H650" si="201">SUM(G648:G649)</f>
        <v>4222.1562000000004</v>
      </c>
      <c r="H650" s="87">
        <f t="shared" si="201"/>
        <v>37534.560000000005</v>
      </c>
      <c r="I650" s="87"/>
      <c r="J650" s="87"/>
      <c r="K650" s="87"/>
      <c r="L650" s="122"/>
      <c r="M650" s="122"/>
      <c r="N650" s="122"/>
      <c r="O650" s="122"/>
      <c r="P650" s="87">
        <v>0</v>
      </c>
      <c r="Q650" s="76"/>
      <c r="R650" s="77"/>
      <c r="S650" s="50"/>
    </row>
    <row r="651" spans="1:19" s="2" customFormat="1" ht="30" customHeight="1" x14ac:dyDescent="0.25">
      <c r="A651" s="20"/>
      <c r="B651" s="129"/>
      <c r="C651" s="136" t="s">
        <v>50</v>
      </c>
      <c r="D651" s="99" t="s">
        <v>61</v>
      </c>
      <c r="E651" s="93">
        <v>102.8</v>
      </c>
      <c r="F651" s="94">
        <v>3.37</v>
      </c>
      <c r="G651" s="94">
        <f>E651*F651</f>
        <v>346.43599999999998</v>
      </c>
      <c r="H651" s="94">
        <v>4112</v>
      </c>
      <c r="I651" s="94"/>
      <c r="J651" s="94"/>
      <c r="K651" s="94"/>
      <c r="L651" s="129"/>
      <c r="M651" s="129"/>
      <c r="N651" s="129"/>
      <c r="O651" s="129"/>
      <c r="P651" s="94">
        <v>24795.96</v>
      </c>
      <c r="Q651" s="73"/>
      <c r="R651" s="74"/>
      <c r="S651" s="47"/>
    </row>
    <row r="652" spans="1:19" s="2" customFormat="1" ht="39" customHeight="1" x14ac:dyDescent="0.25">
      <c r="A652" s="18"/>
      <c r="B652" s="122"/>
      <c r="C652" s="132" t="s">
        <v>50</v>
      </c>
      <c r="D652" s="100" t="s">
        <v>63</v>
      </c>
      <c r="E652" s="89">
        <f>SUM(E650:E651)</f>
        <v>1380.6599999999996</v>
      </c>
      <c r="F652" s="89"/>
      <c r="G652" s="87">
        <f t="shared" ref="G652:H652" si="202">SUM(G650:G651)</f>
        <v>4568.5922</v>
      </c>
      <c r="H652" s="87">
        <f t="shared" si="202"/>
        <v>41646.560000000005</v>
      </c>
      <c r="I652" s="87"/>
      <c r="J652" s="87"/>
      <c r="K652" s="87"/>
      <c r="L652" s="122"/>
      <c r="M652" s="122"/>
      <c r="N652" s="122"/>
      <c r="O652" s="122"/>
      <c r="P652" s="87">
        <v>24795.96</v>
      </c>
      <c r="Q652" s="76"/>
      <c r="R652" s="77"/>
      <c r="S652" s="50"/>
    </row>
    <row r="653" spans="1:19" s="2" customFormat="1" ht="28.5" customHeight="1" x14ac:dyDescent="0.25">
      <c r="A653" s="20"/>
      <c r="B653" s="129"/>
      <c r="C653" s="131" t="s">
        <v>50</v>
      </c>
      <c r="D653" s="99" t="s">
        <v>64</v>
      </c>
      <c r="E653" s="93">
        <v>176.68</v>
      </c>
      <c r="F653" s="94">
        <v>3.37</v>
      </c>
      <c r="G653" s="94">
        <f>E653*F653</f>
        <v>595.41160000000002</v>
      </c>
      <c r="H653" s="94">
        <v>7067.2</v>
      </c>
      <c r="I653" s="94"/>
      <c r="J653" s="94"/>
      <c r="K653" s="94"/>
      <c r="L653" s="129"/>
      <c r="M653" s="129"/>
      <c r="N653" s="129"/>
      <c r="O653" s="129"/>
      <c r="P653" s="94">
        <v>0</v>
      </c>
      <c r="Q653" s="73"/>
      <c r="R653" s="74"/>
      <c r="S653" s="47"/>
    </row>
    <row r="654" spans="1:19" s="2" customFormat="1" ht="39" customHeight="1" x14ac:dyDescent="0.25">
      <c r="A654" s="20"/>
      <c r="B654" s="129"/>
      <c r="C654" s="131" t="s">
        <v>53</v>
      </c>
      <c r="D654" s="104"/>
      <c r="E654" s="93">
        <v>4.12</v>
      </c>
      <c r="F654" s="94">
        <v>0</v>
      </c>
      <c r="G654" s="94">
        <v>0</v>
      </c>
      <c r="H654" s="94">
        <v>0</v>
      </c>
      <c r="I654" s="94"/>
      <c r="J654" s="94"/>
      <c r="K654" s="94"/>
      <c r="L654" s="129"/>
      <c r="M654" s="129"/>
      <c r="N654" s="129"/>
      <c r="O654" s="129"/>
      <c r="P654" s="94"/>
      <c r="Q654" s="73"/>
      <c r="R654" s="74"/>
      <c r="S654" s="47"/>
    </row>
    <row r="655" spans="1:19" s="2" customFormat="1" ht="39" customHeight="1" x14ac:dyDescent="0.25">
      <c r="A655" s="18"/>
      <c r="B655" s="122"/>
      <c r="C655" s="132" t="s">
        <v>50</v>
      </c>
      <c r="D655" s="100" t="s">
        <v>65</v>
      </c>
      <c r="E655" s="89">
        <f>SUM(E652:E654)</f>
        <v>1561.4599999999996</v>
      </c>
      <c r="F655" s="89"/>
      <c r="G655" s="87">
        <f t="shared" ref="G655:H655" si="203">SUM(G652:G654)</f>
        <v>5164.0038000000004</v>
      </c>
      <c r="H655" s="87">
        <f t="shared" si="203"/>
        <v>48713.760000000002</v>
      </c>
      <c r="I655" s="87"/>
      <c r="J655" s="87"/>
      <c r="K655" s="87"/>
      <c r="L655" s="122"/>
      <c r="M655" s="122"/>
      <c r="N655" s="122"/>
      <c r="O655" s="122"/>
      <c r="P655" s="87">
        <v>24795.96</v>
      </c>
      <c r="Q655" s="76"/>
      <c r="R655" s="77"/>
      <c r="S655" s="50"/>
    </row>
    <row r="656" spans="1:19" s="2" customFormat="1" ht="27" customHeight="1" x14ac:dyDescent="0.25">
      <c r="A656" s="20"/>
      <c r="B656" s="129"/>
      <c r="C656" s="136" t="s">
        <v>50</v>
      </c>
      <c r="D656" s="99" t="s">
        <v>70</v>
      </c>
      <c r="E656" s="93">
        <v>13.62</v>
      </c>
      <c r="F656" s="94">
        <v>3.37</v>
      </c>
      <c r="G656" s="94">
        <v>45.8994</v>
      </c>
      <c r="H656" s="94">
        <v>544.79999999999995</v>
      </c>
      <c r="I656" s="94"/>
      <c r="J656" s="94"/>
      <c r="K656" s="94"/>
      <c r="L656" s="129"/>
      <c r="M656" s="129"/>
      <c r="N656" s="129"/>
      <c r="O656" s="129"/>
      <c r="P656" s="94">
        <v>0</v>
      </c>
      <c r="Q656" s="73"/>
      <c r="R656" s="74"/>
      <c r="S656" s="47"/>
    </row>
    <row r="657" spans="1:19" s="2" customFormat="1" ht="39" customHeight="1" x14ac:dyDescent="0.25">
      <c r="A657" s="18"/>
      <c r="B657" s="122"/>
      <c r="C657" s="132" t="s">
        <v>50</v>
      </c>
      <c r="D657" s="100" t="s">
        <v>69</v>
      </c>
      <c r="E657" s="89">
        <f>SUM(E655:E656)</f>
        <v>1575.0799999999995</v>
      </c>
      <c r="F657" s="89"/>
      <c r="G657" s="87">
        <f>SUM(G655:G656)</f>
        <v>5209.9032000000007</v>
      </c>
      <c r="H657" s="87">
        <f>SUM(H655:H656)</f>
        <v>49258.560000000005</v>
      </c>
      <c r="I657" s="87"/>
      <c r="J657" s="87"/>
      <c r="K657" s="87"/>
      <c r="L657" s="122"/>
      <c r="M657" s="122"/>
      <c r="N657" s="122"/>
      <c r="O657" s="122"/>
      <c r="P657" s="87">
        <v>24795.96</v>
      </c>
      <c r="Q657" s="76"/>
      <c r="R657" s="77"/>
      <c r="S657" s="50"/>
    </row>
    <row r="658" spans="1:19" s="2" customFormat="1" ht="27" customHeight="1" x14ac:dyDescent="0.25">
      <c r="A658" s="20"/>
      <c r="B658" s="129"/>
      <c r="C658" s="131" t="s">
        <v>50</v>
      </c>
      <c r="D658" s="99" t="s">
        <v>71</v>
      </c>
      <c r="E658" s="93">
        <v>102.88</v>
      </c>
      <c r="F658" s="94">
        <v>3.45</v>
      </c>
      <c r="G658" s="94">
        <f>E658*F658</f>
        <v>354.93599999999998</v>
      </c>
      <c r="H658" s="94">
        <f>E658*45</f>
        <v>4629.5999999999995</v>
      </c>
      <c r="I658" s="94"/>
      <c r="J658" s="94"/>
      <c r="K658" s="94"/>
      <c r="L658" s="129"/>
      <c r="M658" s="129"/>
      <c r="N658" s="129"/>
      <c r="O658" s="129"/>
      <c r="P658" s="94">
        <v>0</v>
      </c>
      <c r="Q658" s="73"/>
      <c r="R658" s="74"/>
      <c r="S658" s="47"/>
    </row>
    <row r="659" spans="1:19" s="2" customFormat="1" ht="39" customHeight="1" x14ac:dyDescent="0.25">
      <c r="A659" s="18"/>
      <c r="B659" s="122"/>
      <c r="C659" s="132" t="s">
        <v>50</v>
      </c>
      <c r="D659" s="100" t="s">
        <v>72</v>
      </c>
      <c r="E659" s="89">
        <f>SUM(E657:E658)</f>
        <v>1677.9599999999996</v>
      </c>
      <c r="F659" s="89"/>
      <c r="G659" s="87">
        <f t="shared" ref="G659:H659" si="204">SUM(G657:G658)</f>
        <v>5564.8392000000003</v>
      </c>
      <c r="H659" s="87">
        <f t="shared" si="204"/>
        <v>53888.160000000003</v>
      </c>
      <c r="I659" s="87"/>
      <c r="J659" s="87"/>
      <c r="K659" s="87"/>
      <c r="L659" s="122"/>
      <c r="M659" s="122"/>
      <c r="N659" s="122"/>
      <c r="O659" s="122"/>
      <c r="P659" s="87">
        <v>24795.96</v>
      </c>
      <c r="Q659" s="76"/>
      <c r="R659" s="77"/>
      <c r="S659" s="50"/>
    </row>
    <row r="660" spans="1:19" s="2" customFormat="1" ht="31.5" customHeight="1" x14ac:dyDescent="0.25">
      <c r="A660" s="20"/>
      <c r="B660" s="129"/>
      <c r="C660" s="131" t="s">
        <v>50</v>
      </c>
      <c r="D660" s="99" t="s">
        <v>73</v>
      </c>
      <c r="E660" s="93">
        <v>177.76</v>
      </c>
      <c r="F660" s="94">
        <v>3.45</v>
      </c>
      <c r="G660" s="94">
        <f>E660*F660</f>
        <v>613.27200000000005</v>
      </c>
      <c r="H660" s="94">
        <f>E660*45</f>
        <v>7999.2</v>
      </c>
      <c r="I660" s="94"/>
      <c r="J660" s="94"/>
      <c r="K660" s="94"/>
      <c r="L660" s="129"/>
      <c r="M660" s="129"/>
      <c r="N660" s="129"/>
      <c r="O660" s="129"/>
      <c r="P660" s="94">
        <v>0</v>
      </c>
      <c r="Q660" s="73"/>
      <c r="R660" s="74"/>
      <c r="S660" s="47"/>
    </row>
    <row r="661" spans="1:19" s="2" customFormat="1" ht="39" customHeight="1" x14ac:dyDescent="0.25">
      <c r="A661" s="18"/>
      <c r="B661" s="122"/>
      <c r="C661" s="132" t="s">
        <v>50</v>
      </c>
      <c r="D661" s="100" t="s">
        <v>74</v>
      </c>
      <c r="E661" s="89">
        <f>SUM(E659:E660)</f>
        <v>1855.7199999999996</v>
      </c>
      <c r="F661" s="89"/>
      <c r="G661" s="87">
        <f t="shared" ref="G661:H661" si="205">SUM(G659:G660)</f>
        <v>6178.1112000000003</v>
      </c>
      <c r="H661" s="87">
        <f t="shared" si="205"/>
        <v>61887.360000000001</v>
      </c>
      <c r="I661" s="87"/>
      <c r="J661" s="87"/>
      <c r="K661" s="87"/>
      <c r="L661" s="122"/>
      <c r="M661" s="122"/>
      <c r="N661" s="122"/>
      <c r="O661" s="122"/>
      <c r="P661" s="87">
        <v>24795.96</v>
      </c>
      <c r="Q661" s="76"/>
      <c r="R661" s="77"/>
      <c r="S661" s="50"/>
    </row>
    <row r="662" spans="1:19" s="2" customFormat="1" ht="33.75" customHeight="1" x14ac:dyDescent="0.25">
      <c r="A662" s="20"/>
      <c r="B662" s="129"/>
      <c r="C662" s="131" t="s">
        <v>50</v>
      </c>
      <c r="D662" s="99" t="s">
        <v>76</v>
      </c>
      <c r="E662" s="93">
        <v>181.26</v>
      </c>
      <c r="F662" s="94">
        <v>3.45</v>
      </c>
      <c r="G662" s="94">
        <f>E662*F662</f>
        <v>625.34699999999998</v>
      </c>
      <c r="H662" s="94">
        <f>E662*45</f>
        <v>8156.7</v>
      </c>
      <c r="I662" s="94"/>
      <c r="J662" s="94"/>
      <c r="K662" s="94"/>
      <c r="L662" s="129"/>
      <c r="M662" s="129"/>
      <c r="N662" s="129"/>
      <c r="O662" s="129"/>
      <c r="P662" s="94">
        <v>0</v>
      </c>
      <c r="Q662" s="73"/>
      <c r="R662" s="74"/>
      <c r="S662" s="47"/>
    </row>
    <row r="663" spans="1:19" s="2" customFormat="1" ht="39" customHeight="1" x14ac:dyDescent="0.25">
      <c r="A663" s="20"/>
      <c r="B663" s="129"/>
      <c r="C663" s="131" t="s">
        <v>53</v>
      </c>
      <c r="D663" s="104"/>
      <c r="E663" s="93">
        <v>10.32</v>
      </c>
      <c r="F663" s="94">
        <v>0</v>
      </c>
      <c r="G663" s="94">
        <v>0</v>
      </c>
      <c r="H663" s="94">
        <v>0</v>
      </c>
      <c r="I663" s="94"/>
      <c r="J663" s="94"/>
      <c r="K663" s="94"/>
      <c r="L663" s="129"/>
      <c r="M663" s="129"/>
      <c r="N663" s="129"/>
      <c r="O663" s="129"/>
      <c r="Q663" s="73"/>
      <c r="R663" s="74"/>
      <c r="S663" s="47"/>
    </row>
    <row r="664" spans="1:19" s="2" customFormat="1" ht="39" customHeight="1" x14ac:dyDescent="0.25">
      <c r="A664" s="18"/>
      <c r="B664" s="122"/>
      <c r="C664" s="132" t="s">
        <v>50</v>
      </c>
      <c r="D664" s="100" t="s">
        <v>77</v>
      </c>
      <c r="E664" s="89">
        <f>SUM(E661:E663)</f>
        <v>2047.2999999999995</v>
      </c>
      <c r="F664" s="89"/>
      <c r="G664" s="87">
        <f t="shared" ref="G664:H664" si="206">SUM(G661:G663)</f>
        <v>6803.4582</v>
      </c>
      <c r="H664" s="87">
        <f t="shared" si="206"/>
        <v>70044.06</v>
      </c>
      <c r="I664" s="87"/>
      <c r="J664" s="87"/>
      <c r="K664" s="87"/>
      <c r="L664" s="122"/>
      <c r="M664" s="122"/>
      <c r="N664" s="122"/>
      <c r="O664" s="122"/>
      <c r="P664" s="87">
        <v>24795.96</v>
      </c>
      <c r="Q664" s="76"/>
      <c r="R664" s="77"/>
      <c r="S664" s="50"/>
    </row>
    <row r="665" spans="1:19" s="2" customFormat="1" ht="39" customHeight="1" x14ac:dyDescent="0.25">
      <c r="A665" s="20"/>
      <c r="B665" s="129"/>
      <c r="C665" s="131" t="s">
        <v>50</v>
      </c>
      <c r="D665" s="99" t="s">
        <v>78</v>
      </c>
      <c r="E665" s="93">
        <v>51.56</v>
      </c>
      <c r="F665" s="94">
        <v>3.45</v>
      </c>
      <c r="G665" s="94">
        <f>E665*F665</f>
        <v>177.88200000000001</v>
      </c>
      <c r="H665" s="94">
        <f>E665*45</f>
        <v>2320.2000000000003</v>
      </c>
      <c r="I665" s="94"/>
      <c r="J665" s="94"/>
      <c r="K665" s="94"/>
      <c r="L665" s="129"/>
      <c r="M665" s="129"/>
      <c r="N665" s="129"/>
      <c r="O665" s="129"/>
      <c r="P665" s="94">
        <v>6939.87</v>
      </c>
      <c r="Q665" s="73"/>
      <c r="R665" s="74"/>
      <c r="S665" s="47"/>
    </row>
    <row r="666" spans="1:19" s="2" customFormat="1" ht="39" customHeight="1" x14ac:dyDescent="0.25">
      <c r="A666" s="18"/>
      <c r="B666" s="122"/>
      <c r="C666" s="132" t="s">
        <v>50</v>
      </c>
      <c r="D666" s="100" t="s">
        <v>79</v>
      </c>
      <c r="E666" s="89">
        <f>SUM(E664:E665)</f>
        <v>2098.8599999999997</v>
      </c>
      <c r="F666" s="89"/>
      <c r="G666" s="87">
        <f t="shared" ref="G666:H666" si="207">SUM(G664:G665)</f>
        <v>6981.3401999999996</v>
      </c>
      <c r="H666" s="87">
        <f t="shared" si="207"/>
        <v>72364.259999999995</v>
      </c>
      <c r="I666" s="87"/>
      <c r="J666" s="87"/>
      <c r="K666" s="87"/>
      <c r="L666" s="122"/>
      <c r="M666" s="122"/>
      <c r="N666" s="122"/>
      <c r="O666" s="122"/>
      <c r="P666" s="87">
        <f>SUM(P664:P665)</f>
        <v>31735.829999999998</v>
      </c>
      <c r="Q666" s="76"/>
      <c r="R666" s="77"/>
      <c r="S666" s="50"/>
    </row>
    <row r="667" spans="1:19" s="2" customFormat="1" ht="30" customHeight="1" x14ac:dyDescent="0.25">
      <c r="A667" s="20"/>
      <c r="B667" s="129"/>
      <c r="C667" s="131" t="s">
        <v>50</v>
      </c>
      <c r="D667" s="99" t="s">
        <v>82</v>
      </c>
      <c r="E667" s="93">
        <v>36.28</v>
      </c>
      <c r="F667" s="94">
        <v>3.45</v>
      </c>
      <c r="G667" s="94">
        <f>E667*F667</f>
        <v>125.16600000000001</v>
      </c>
      <c r="H667" s="94">
        <f>E667*57</f>
        <v>2067.96</v>
      </c>
      <c r="I667" s="94"/>
      <c r="J667" s="94"/>
      <c r="K667" s="94"/>
      <c r="L667" s="129"/>
      <c r="M667" s="129"/>
      <c r="N667" s="129"/>
      <c r="O667" s="129"/>
      <c r="P667" s="94">
        <v>39597</v>
      </c>
      <c r="Q667" s="73"/>
      <c r="R667" s="74"/>
      <c r="S667" s="47"/>
    </row>
    <row r="668" spans="1:19" s="2" customFormat="1" ht="39" customHeight="1" x14ac:dyDescent="0.25">
      <c r="A668" s="18"/>
      <c r="B668" s="122"/>
      <c r="C668" s="132" t="s">
        <v>50</v>
      </c>
      <c r="D668" s="100" t="s">
        <v>81</v>
      </c>
      <c r="E668" s="89">
        <f>SUM(E666:E667)</f>
        <v>2135.14</v>
      </c>
      <c r="F668" s="89"/>
      <c r="G668" s="87">
        <f t="shared" ref="G668:P668" si="208">SUM(G666:G667)</f>
        <v>7106.5061999999998</v>
      </c>
      <c r="H668" s="87">
        <f t="shared" si="208"/>
        <v>74432.22</v>
      </c>
      <c r="I668" s="87"/>
      <c r="J668" s="87"/>
      <c r="K668" s="87"/>
      <c r="L668" s="87"/>
      <c r="M668" s="87"/>
      <c r="N668" s="87"/>
      <c r="O668" s="87"/>
      <c r="P668" s="87">
        <f t="shared" si="208"/>
        <v>71332.83</v>
      </c>
      <c r="Q668" s="76"/>
      <c r="R668" s="77"/>
      <c r="S668" s="50"/>
    </row>
    <row r="669" spans="1:19" s="2" customFormat="1" ht="31.5" customHeight="1" x14ac:dyDescent="0.25">
      <c r="A669" s="20"/>
      <c r="B669" s="129"/>
      <c r="C669" s="131" t="s">
        <v>50</v>
      </c>
      <c r="D669" s="99" t="s">
        <v>84</v>
      </c>
      <c r="E669" s="93">
        <v>134.69999999999999</v>
      </c>
      <c r="F669" s="94">
        <v>3.45</v>
      </c>
      <c r="G669" s="94">
        <f>E669*F669</f>
        <v>464.71499999999997</v>
      </c>
      <c r="H669" s="94">
        <f>E669*57</f>
        <v>7677.9</v>
      </c>
      <c r="I669" s="94"/>
      <c r="J669" s="94"/>
      <c r="K669" s="94"/>
      <c r="L669" s="94"/>
      <c r="M669" s="94"/>
      <c r="N669" s="94"/>
      <c r="O669" s="94"/>
      <c r="P669" s="94">
        <v>0</v>
      </c>
      <c r="Q669" s="73"/>
      <c r="R669" s="74"/>
      <c r="S669" s="47"/>
    </row>
    <row r="670" spans="1:19" s="2" customFormat="1" ht="39" customHeight="1" x14ac:dyDescent="0.25">
      <c r="A670" s="18"/>
      <c r="B670" s="122"/>
      <c r="C670" s="132" t="s">
        <v>50</v>
      </c>
      <c r="D670" s="100" t="s">
        <v>86</v>
      </c>
      <c r="E670" s="89">
        <f>SUM(E668:E669)</f>
        <v>2269.8399999999997</v>
      </c>
      <c r="F670" s="89"/>
      <c r="G670" s="87">
        <f t="shared" ref="G670:P670" si="209">SUM(G668:G669)</f>
        <v>7571.2212</v>
      </c>
      <c r="H670" s="87">
        <f t="shared" si="209"/>
        <v>82110.12</v>
      </c>
      <c r="I670" s="87"/>
      <c r="J670" s="87"/>
      <c r="K670" s="87"/>
      <c r="L670" s="87"/>
      <c r="M670" s="87"/>
      <c r="N670" s="87"/>
      <c r="O670" s="87"/>
      <c r="P670" s="87">
        <f t="shared" si="209"/>
        <v>71332.83</v>
      </c>
      <c r="Q670" s="76"/>
      <c r="R670" s="77"/>
      <c r="S670" s="50"/>
    </row>
    <row r="671" spans="1:19" s="2" customFormat="1" ht="30.75" customHeight="1" x14ac:dyDescent="0.25">
      <c r="A671" s="20"/>
      <c r="B671" s="129"/>
      <c r="C671" s="131" t="s">
        <v>50</v>
      </c>
      <c r="D671" s="99" t="s">
        <v>89</v>
      </c>
      <c r="E671" s="93">
        <v>212.72</v>
      </c>
      <c r="F671" s="94">
        <v>3.45</v>
      </c>
      <c r="G671" s="94">
        <f>E671*F671</f>
        <v>733.88400000000001</v>
      </c>
      <c r="H671" s="94">
        <f>E671*57</f>
        <v>12125.039999999999</v>
      </c>
      <c r="I671" s="94"/>
      <c r="J671" s="94"/>
      <c r="K671" s="94"/>
      <c r="L671" s="94"/>
      <c r="M671" s="94"/>
      <c r="N671" s="94"/>
      <c r="O671" s="94"/>
      <c r="P671" s="94">
        <v>0</v>
      </c>
      <c r="Q671" s="73"/>
      <c r="R671" s="74"/>
      <c r="S671" s="47"/>
    </row>
    <row r="672" spans="1:19" s="2" customFormat="1" ht="39" customHeight="1" x14ac:dyDescent="0.25">
      <c r="A672" s="20"/>
      <c r="B672" s="129"/>
      <c r="C672" s="131" t="s">
        <v>53</v>
      </c>
      <c r="D672" s="104"/>
      <c r="E672" s="93">
        <v>9.74</v>
      </c>
      <c r="F672" s="93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73"/>
      <c r="R672" s="74"/>
      <c r="S672" s="47"/>
    </row>
    <row r="673" spans="1:19" s="2" customFormat="1" ht="39" customHeight="1" x14ac:dyDescent="0.25">
      <c r="A673" s="18"/>
      <c r="B673" s="122"/>
      <c r="C673" s="132" t="s">
        <v>50</v>
      </c>
      <c r="D673" s="100" t="s">
        <v>90</v>
      </c>
      <c r="E673" s="89">
        <f>SUM(E670:E672)</f>
        <v>2492.2999999999993</v>
      </c>
      <c r="F673" s="89"/>
      <c r="G673" s="87">
        <f t="shared" ref="G673:P673" si="210">SUM(G670:G672)</f>
        <v>8305.1052</v>
      </c>
      <c r="H673" s="87">
        <f t="shared" si="210"/>
        <v>94235.159999999989</v>
      </c>
      <c r="I673" s="87"/>
      <c r="J673" s="87"/>
      <c r="K673" s="87"/>
      <c r="L673" s="87"/>
      <c r="M673" s="87"/>
      <c r="N673" s="87"/>
      <c r="O673" s="87"/>
      <c r="P673" s="87">
        <f t="shared" si="210"/>
        <v>71332.83</v>
      </c>
      <c r="Q673" s="76"/>
      <c r="R673" s="77"/>
      <c r="S673" s="50"/>
    </row>
    <row r="674" spans="1:19" s="2" customFormat="1" ht="33" customHeight="1" x14ac:dyDescent="0.25">
      <c r="A674" s="20"/>
      <c r="B674" s="129"/>
      <c r="C674" s="131" t="s">
        <v>50</v>
      </c>
      <c r="D674" s="99" t="s">
        <v>93</v>
      </c>
      <c r="E674" s="93">
        <v>174.28</v>
      </c>
      <c r="F674" s="94">
        <v>3.45</v>
      </c>
      <c r="G674" s="94">
        <f>E674*F674</f>
        <v>601.26600000000008</v>
      </c>
      <c r="H674" s="94">
        <f>E674*57</f>
        <v>9933.9600000000009</v>
      </c>
      <c r="I674" s="94"/>
      <c r="J674" s="94"/>
      <c r="K674" s="94"/>
      <c r="L674" s="94"/>
      <c r="M674" s="94"/>
      <c r="N674" s="94"/>
      <c r="O674" s="94"/>
      <c r="P674" s="94">
        <v>0</v>
      </c>
      <c r="Q674" s="73"/>
      <c r="R674" s="74"/>
      <c r="S674" s="47"/>
    </row>
    <row r="675" spans="1:19" s="2" customFormat="1" ht="39" customHeight="1" x14ac:dyDescent="0.25">
      <c r="A675" s="18"/>
      <c r="B675" s="122"/>
      <c r="C675" s="132" t="s">
        <v>50</v>
      </c>
      <c r="D675" s="100" t="s">
        <v>94</v>
      </c>
      <c r="E675" s="89">
        <f>SUM(E673:E674)</f>
        <v>2666.5799999999995</v>
      </c>
      <c r="F675" s="89"/>
      <c r="G675" s="87">
        <f>SUM(G673:G674)</f>
        <v>8906.3711999999996</v>
      </c>
      <c r="H675" s="87">
        <f t="shared" ref="H675" si="211">SUM(H673:H674)</f>
        <v>104169.12</v>
      </c>
      <c r="I675" s="87"/>
      <c r="J675" s="87"/>
      <c r="K675" s="87"/>
      <c r="L675" s="87"/>
      <c r="M675" s="87"/>
      <c r="N675" s="89"/>
      <c r="O675" s="87"/>
      <c r="P675" s="87">
        <v>71332.83</v>
      </c>
      <c r="Q675" s="76"/>
      <c r="R675" s="77"/>
      <c r="S675" s="50"/>
    </row>
    <row r="676" spans="1:19" s="2" customFormat="1" ht="91.5" customHeight="1" x14ac:dyDescent="0.25">
      <c r="A676" s="20"/>
      <c r="B676" s="129"/>
      <c r="C676" s="131" t="s">
        <v>50</v>
      </c>
      <c r="D676" s="99" t="s">
        <v>96</v>
      </c>
      <c r="E676" s="93">
        <v>152.91999999999999</v>
      </c>
      <c r="F676" s="94">
        <v>5.6</v>
      </c>
      <c r="G676" s="94">
        <f>E676*F676</f>
        <v>856.35199999999986</v>
      </c>
      <c r="H676" s="94">
        <v>13992.84</v>
      </c>
      <c r="I676" s="94"/>
      <c r="J676" s="94"/>
      <c r="K676" s="94"/>
      <c r="L676" s="94"/>
      <c r="M676" s="94"/>
      <c r="N676" s="93"/>
      <c r="O676" s="94"/>
      <c r="P676" s="94" t="s">
        <v>118</v>
      </c>
      <c r="Q676" s="73"/>
      <c r="R676" s="74"/>
      <c r="S676" s="217" t="s">
        <v>99</v>
      </c>
    </row>
    <row r="677" spans="1:19" s="2" customFormat="1" ht="39" customHeight="1" x14ac:dyDescent="0.25">
      <c r="A677" s="18"/>
      <c r="B677" s="122"/>
      <c r="C677" s="132" t="s">
        <v>50</v>
      </c>
      <c r="D677" s="100" t="s">
        <v>97</v>
      </c>
      <c r="E677" s="89">
        <f>SUM(E675:E676)</f>
        <v>2819.4999999999995</v>
      </c>
      <c r="F677" s="89"/>
      <c r="G677" s="87">
        <f t="shared" ref="G677:H677" si="212">SUM(G675:G676)</f>
        <v>9762.7232000000004</v>
      </c>
      <c r="H677" s="87">
        <f t="shared" si="212"/>
        <v>118161.95999999999</v>
      </c>
      <c r="I677" s="87"/>
      <c r="J677" s="87"/>
      <c r="K677" s="87"/>
      <c r="L677" s="87"/>
      <c r="M677" s="87"/>
      <c r="N677" s="87"/>
      <c r="O677" s="87"/>
      <c r="P677" s="221" t="s">
        <v>134</v>
      </c>
      <c r="Q677" s="76"/>
      <c r="R677" s="77"/>
      <c r="S677" s="50"/>
    </row>
    <row r="678" spans="1:19" s="2" customFormat="1" ht="27.75" customHeight="1" x14ac:dyDescent="0.25">
      <c r="A678" s="20"/>
      <c r="B678" s="129"/>
      <c r="C678" s="131" t="s">
        <v>50</v>
      </c>
      <c r="D678" s="99" t="s">
        <v>119</v>
      </c>
      <c r="E678" s="93">
        <v>201.04</v>
      </c>
      <c r="F678" s="94">
        <v>5.6</v>
      </c>
      <c r="G678" s="94">
        <f>E678*F678</f>
        <v>1125.8239999999998</v>
      </c>
      <c r="H678" s="94">
        <f>E678*69</f>
        <v>13871.76</v>
      </c>
      <c r="I678" s="94"/>
      <c r="J678" s="94"/>
      <c r="K678" s="94"/>
      <c r="L678" s="94"/>
      <c r="M678" s="94"/>
      <c r="N678" s="94"/>
      <c r="O678" s="94"/>
      <c r="P678" s="220" t="s">
        <v>129</v>
      </c>
      <c r="Q678" s="73"/>
      <c r="R678" s="74"/>
      <c r="S678" s="47"/>
    </row>
    <row r="679" spans="1:19" s="2" customFormat="1" ht="39" customHeight="1" x14ac:dyDescent="0.25">
      <c r="A679" s="18"/>
      <c r="B679" s="122"/>
      <c r="C679" s="132" t="s">
        <v>50</v>
      </c>
      <c r="D679" s="100" t="s">
        <v>120</v>
      </c>
      <c r="E679" s="89">
        <f>SUM(E677:E678)</f>
        <v>3020.5399999999995</v>
      </c>
      <c r="F679" s="89"/>
      <c r="G679" s="87">
        <f t="shared" ref="G679:H679" si="213">SUM(G677:G678)</f>
        <v>10888.547200000001</v>
      </c>
      <c r="H679" s="87">
        <f t="shared" si="213"/>
        <v>132033.72</v>
      </c>
      <c r="I679" s="87"/>
      <c r="J679" s="87"/>
      <c r="K679" s="87"/>
      <c r="L679" s="87"/>
      <c r="M679" s="87"/>
      <c r="N679" s="87"/>
      <c r="O679" s="87"/>
      <c r="P679" s="221" t="s">
        <v>135</v>
      </c>
      <c r="Q679" s="76"/>
      <c r="R679" s="77"/>
      <c r="S679" s="50"/>
    </row>
    <row r="680" spans="1:19" s="2" customFormat="1" ht="39" customHeight="1" x14ac:dyDescent="0.25">
      <c r="A680" s="20"/>
      <c r="B680" s="129"/>
      <c r="C680" s="131" t="s">
        <v>50</v>
      </c>
      <c r="D680" s="99" t="s">
        <v>139</v>
      </c>
      <c r="E680" s="93">
        <v>231.24</v>
      </c>
      <c r="F680" s="94">
        <v>5.6</v>
      </c>
      <c r="G680" s="94">
        <f>SUM(E680*F680)</f>
        <v>1294.944</v>
      </c>
      <c r="H680" s="94">
        <f>SUM(E680*69)</f>
        <v>15955.560000000001</v>
      </c>
      <c r="I680" s="94"/>
      <c r="J680" s="94"/>
      <c r="K680" s="94"/>
      <c r="L680" s="94"/>
      <c r="M680" s="94"/>
      <c r="N680" s="94"/>
      <c r="O680" s="94"/>
      <c r="P680" s="220" t="s">
        <v>160</v>
      </c>
      <c r="Q680" s="73"/>
      <c r="R680" s="74"/>
      <c r="S680" s="47"/>
    </row>
    <row r="681" spans="1:19" s="2" customFormat="1" ht="39" customHeight="1" x14ac:dyDescent="0.25">
      <c r="A681" s="18"/>
      <c r="B681" s="122"/>
      <c r="C681" s="132" t="s">
        <v>50</v>
      </c>
      <c r="D681" s="100" t="s">
        <v>140</v>
      </c>
      <c r="E681" s="89">
        <f>SUM(E679:E680)</f>
        <v>3251.7799999999997</v>
      </c>
      <c r="F681" s="89"/>
      <c r="G681" s="87">
        <f t="shared" ref="G681:H681" si="214">SUM(G679:G680)</f>
        <v>12183.4912</v>
      </c>
      <c r="H681" s="87">
        <f t="shared" si="214"/>
        <v>147989.28</v>
      </c>
      <c r="I681" s="87"/>
      <c r="J681" s="87"/>
      <c r="K681" s="87"/>
      <c r="L681" s="87"/>
      <c r="M681" s="87"/>
      <c r="N681" s="87"/>
      <c r="O681" s="87"/>
      <c r="P681" s="221" t="s">
        <v>143</v>
      </c>
      <c r="Q681" s="76"/>
      <c r="R681" s="77"/>
      <c r="S681" s="50"/>
    </row>
    <row r="682" spans="1:19" s="2" customFormat="1" ht="39" customHeight="1" x14ac:dyDescent="0.25">
      <c r="A682" s="20"/>
      <c r="B682" s="129"/>
      <c r="C682" s="131" t="s">
        <v>50</v>
      </c>
      <c r="D682" s="99" t="s">
        <v>144</v>
      </c>
      <c r="E682" s="93">
        <v>200.18</v>
      </c>
      <c r="F682" s="94">
        <v>5.6</v>
      </c>
      <c r="G682" s="94">
        <v>1121.008</v>
      </c>
      <c r="H682" s="94">
        <v>13812.42</v>
      </c>
      <c r="I682" s="94"/>
      <c r="J682" s="94"/>
      <c r="K682" s="94"/>
      <c r="L682" s="94"/>
      <c r="M682" s="94"/>
      <c r="N682" s="94"/>
      <c r="O682" s="94"/>
      <c r="P682" s="220" t="s">
        <v>157</v>
      </c>
      <c r="Q682" s="73"/>
      <c r="R682" s="74"/>
      <c r="S682" s="47"/>
    </row>
    <row r="683" spans="1:19" s="2" customFormat="1" ht="39" customHeight="1" x14ac:dyDescent="0.25">
      <c r="A683" s="18"/>
      <c r="B683" s="122"/>
      <c r="C683" s="132" t="s">
        <v>50</v>
      </c>
      <c r="D683" s="100" t="s">
        <v>145</v>
      </c>
      <c r="E683" s="89">
        <f>SUM(E681:E682)</f>
        <v>3451.9599999999996</v>
      </c>
      <c r="F683" s="89"/>
      <c r="G683" s="87">
        <f t="shared" ref="G683:H683" si="215">SUM(G681:G682)</f>
        <v>13304.4992</v>
      </c>
      <c r="H683" s="87">
        <f t="shared" si="215"/>
        <v>161801.70000000001</v>
      </c>
      <c r="I683" s="87"/>
      <c r="J683" s="87"/>
      <c r="K683" s="87"/>
      <c r="L683" s="87"/>
      <c r="M683" s="87"/>
      <c r="N683" s="87"/>
      <c r="O683" s="87"/>
      <c r="P683" s="221" t="s">
        <v>164</v>
      </c>
      <c r="Q683" s="76"/>
      <c r="R683" s="77"/>
      <c r="S683" s="50"/>
    </row>
    <row r="684" spans="1:19" s="2" customFormat="1" ht="39" customHeight="1" x14ac:dyDescent="0.25">
      <c r="A684" s="20"/>
      <c r="B684" s="129"/>
      <c r="C684" s="131" t="s">
        <v>50</v>
      </c>
      <c r="D684" s="99" t="s">
        <v>165</v>
      </c>
      <c r="E684" s="93">
        <v>147.12</v>
      </c>
      <c r="F684" s="94">
        <v>5.6</v>
      </c>
      <c r="G684" s="94">
        <f>E684*F684</f>
        <v>823.87199999999996</v>
      </c>
      <c r="H684" s="94">
        <f>E684*82</f>
        <v>12063.84</v>
      </c>
      <c r="I684" s="94"/>
      <c r="J684" s="94"/>
      <c r="K684" s="94"/>
      <c r="L684" s="94"/>
      <c r="M684" s="94"/>
      <c r="N684" s="94"/>
      <c r="O684" s="94"/>
      <c r="P684" s="220" t="s">
        <v>186</v>
      </c>
      <c r="Q684" s="73"/>
      <c r="R684" s="74"/>
      <c r="S684" s="47"/>
    </row>
    <row r="685" spans="1:19" s="2" customFormat="1" ht="39" customHeight="1" x14ac:dyDescent="0.25">
      <c r="A685" s="18"/>
      <c r="B685" s="122"/>
      <c r="C685" s="132" t="s">
        <v>50</v>
      </c>
      <c r="D685" s="100" t="s">
        <v>188</v>
      </c>
      <c r="E685" s="89">
        <f>SUM(E683:E684)</f>
        <v>3599.0799999999995</v>
      </c>
      <c r="F685" s="89"/>
      <c r="G685" s="87">
        <f t="shared" ref="G685:H685" si="216">SUM(G683:G684)</f>
        <v>14128.3712</v>
      </c>
      <c r="H685" s="87">
        <f t="shared" si="216"/>
        <v>173865.54</v>
      </c>
      <c r="I685" s="87"/>
      <c r="J685" s="87"/>
      <c r="K685" s="87"/>
      <c r="L685" s="87"/>
      <c r="M685" s="87"/>
      <c r="N685" s="87"/>
      <c r="O685" s="87"/>
      <c r="P685" s="221" t="s">
        <v>187</v>
      </c>
      <c r="Q685" s="76"/>
      <c r="R685" s="77"/>
      <c r="S685" s="50"/>
    </row>
    <row r="686" spans="1:19" s="2" customFormat="1" ht="39" customHeight="1" x14ac:dyDescent="0.25">
      <c r="A686" s="20"/>
      <c r="B686" s="129"/>
      <c r="C686" s="131" t="s">
        <v>50</v>
      </c>
      <c r="D686" s="99" t="s">
        <v>166</v>
      </c>
      <c r="E686" s="93">
        <v>203.06</v>
      </c>
      <c r="F686" s="94">
        <v>5.6</v>
      </c>
      <c r="G686" s="94">
        <f>68.42*5.6</f>
        <v>383.15199999999999</v>
      </c>
      <c r="H686" s="94">
        <f>68.42*82</f>
        <v>5610.4400000000005</v>
      </c>
      <c r="I686" s="94">
        <f>134.64*5.6</f>
        <v>753.98399999999992</v>
      </c>
      <c r="J686" s="94">
        <f>134.64*82</f>
        <v>11040.48</v>
      </c>
      <c r="K686" s="94"/>
      <c r="L686" s="94"/>
      <c r="M686" s="94"/>
      <c r="N686" s="94"/>
      <c r="O686" s="94"/>
      <c r="P686" s="220">
        <v>0</v>
      </c>
      <c r="Q686" s="73"/>
      <c r="R686" s="74"/>
      <c r="S686" s="47"/>
    </row>
    <row r="687" spans="1:19" s="2" customFormat="1" ht="39" customHeight="1" x14ac:dyDescent="0.25">
      <c r="A687" s="18"/>
      <c r="B687" s="122"/>
      <c r="C687" s="132" t="s">
        <v>50</v>
      </c>
      <c r="D687" s="100" t="s">
        <v>168</v>
      </c>
      <c r="E687" s="89">
        <f>SUM(E685:E686)</f>
        <v>3802.1399999999994</v>
      </c>
      <c r="F687" s="89"/>
      <c r="G687" s="87">
        <f t="shared" ref="G687:J687" si="217">SUM(G685:G686)</f>
        <v>14511.5232</v>
      </c>
      <c r="H687" s="87">
        <f t="shared" si="217"/>
        <v>179475.98</v>
      </c>
      <c r="I687" s="87">
        <f t="shared" si="217"/>
        <v>753.98399999999992</v>
      </c>
      <c r="J687" s="87">
        <f t="shared" si="217"/>
        <v>11040.48</v>
      </c>
      <c r="K687" s="87"/>
      <c r="L687" s="87"/>
      <c r="M687" s="87"/>
      <c r="N687" s="87"/>
      <c r="O687" s="87"/>
      <c r="P687" s="221" t="s">
        <v>187</v>
      </c>
      <c r="Q687" s="76"/>
      <c r="R687" s="77"/>
      <c r="S687" s="50"/>
    </row>
    <row r="688" spans="1:19" s="236" customFormat="1" ht="39" customHeight="1" x14ac:dyDescent="0.25">
      <c r="A688" s="230"/>
      <c r="B688" s="237"/>
      <c r="C688" s="131" t="s">
        <v>50</v>
      </c>
      <c r="D688" s="99" t="s">
        <v>195</v>
      </c>
      <c r="E688" s="231">
        <v>228.6</v>
      </c>
      <c r="F688" s="94">
        <v>5.6</v>
      </c>
      <c r="G688" s="94">
        <f>134.64*5.6</f>
        <v>753.98399999999992</v>
      </c>
      <c r="H688" s="94">
        <f>134.64*82</f>
        <v>11040.48</v>
      </c>
      <c r="I688" s="232">
        <f>E688*5.6</f>
        <v>1280.1599999999999</v>
      </c>
      <c r="J688" s="232">
        <f>E688*82</f>
        <v>18745.2</v>
      </c>
      <c r="K688" s="232"/>
      <c r="L688" s="232"/>
      <c r="M688" s="232"/>
      <c r="N688" s="232"/>
      <c r="O688" s="232"/>
      <c r="P688" s="220">
        <v>0</v>
      </c>
      <c r="Q688" s="247"/>
      <c r="R688" s="248"/>
      <c r="S688" s="235"/>
    </row>
    <row r="689" spans="1:19" s="2" customFormat="1" ht="39" customHeight="1" x14ac:dyDescent="0.25">
      <c r="A689" s="18"/>
      <c r="B689" s="122"/>
      <c r="C689" s="132" t="s">
        <v>50</v>
      </c>
      <c r="D689" s="100" t="s">
        <v>196</v>
      </c>
      <c r="E689" s="89">
        <f>SUM(E687:E688)</f>
        <v>4030.7399999999993</v>
      </c>
      <c r="F689" s="89"/>
      <c r="G689" s="87">
        <f>SUM(G687:G688)</f>
        <v>15265.5072</v>
      </c>
      <c r="H689" s="87">
        <f>SUM(H687:H688)</f>
        <v>190516.46000000002</v>
      </c>
      <c r="I689" s="87">
        <v>1280.1600000000001</v>
      </c>
      <c r="J689" s="87">
        <v>18745.2</v>
      </c>
      <c r="K689" s="87"/>
      <c r="L689" s="87"/>
      <c r="M689" s="87"/>
      <c r="N689" s="87"/>
      <c r="O689" s="87"/>
      <c r="P689" s="221" t="s">
        <v>187</v>
      </c>
      <c r="Q689" s="76"/>
      <c r="R689" s="77"/>
      <c r="S689" s="50"/>
    </row>
    <row r="690" spans="1:19" s="236" customFormat="1" ht="39" customHeight="1" x14ac:dyDescent="0.25">
      <c r="A690" s="230"/>
      <c r="B690" s="237"/>
      <c r="C690" s="131" t="s">
        <v>50</v>
      </c>
      <c r="D690" s="99" t="s">
        <v>201</v>
      </c>
      <c r="E690" s="231">
        <v>187.98</v>
      </c>
      <c r="F690" s="94">
        <v>5.6</v>
      </c>
      <c r="G690" s="232">
        <f>302.66*5.6</f>
        <v>1694.896</v>
      </c>
      <c r="H690" s="232">
        <f>302.66*82</f>
        <v>24818.120000000003</v>
      </c>
      <c r="I690" s="232">
        <f>113.92*5.6</f>
        <v>637.952</v>
      </c>
      <c r="J690" s="232">
        <f>113.92*82</f>
        <v>9341.44</v>
      </c>
      <c r="K690" s="232"/>
      <c r="L690" s="232"/>
      <c r="M690" s="232"/>
      <c r="N690" s="232"/>
      <c r="O690" s="232"/>
      <c r="P690" s="220">
        <v>0</v>
      </c>
      <c r="Q690" s="247"/>
      <c r="R690" s="248"/>
      <c r="S690" s="235"/>
    </row>
    <row r="691" spans="1:19" s="2" customFormat="1" ht="39" customHeight="1" x14ac:dyDescent="0.25">
      <c r="A691" s="18"/>
      <c r="B691" s="122"/>
      <c r="C691" s="132" t="s">
        <v>50</v>
      </c>
      <c r="D691" s="100" t="s">
        <v>202</v>
      </c>
      <c r="E691" s="89">
        <f>SUM(E689:E690)</f>
        <v>4218.7199999999993</v>
      </c>
      <c r="F691" s="89"/>
      <c r="G691" s="87">
        <f>SUM(G689:G690)</f>
        <v>16960.403200000001</v>
      </c>
      <c r="H691" s="87">
        <f>SUM(H689:H690)</f>
        <v>215334.58000000002</v>
      </c>
      <c r="I691" s="87">
        <v>637.95000000000005</v>
      </c>
      <c r="J691" s="87">
        <v>9341.44</v>
      </c>
      <c r="K691" s="87"/>
      <c r="L691" s="87"/>
      <c r="M691" s="87"/>
      <c r="N691" s="87"/>
      <c r="O691" s="87"/>
      <c r="P691" s="221" t="s">
        <v>187</v>
      </c>
      <c r="Q691" s="76"/>
      <c r="R691" s="77"/>
      <c r="S691" s="50"/>
    </row>
    <row r="692" spans="1:19" s="236" customFormat="1" ht="39" customHeight="1" x14ac:dyDescent="0.25">
      <c r="A692" s="230"/>
      <c r="B692" s="237"/>
      <c r="C692" s="131" t="s">
        <v>50</v>
      </c>
      <c r="D692" s="99" t="s">
        <v>208</v>
      </c>
      <c r="E692" s="231">
        <v>147.96</v>
      </c>
      <c r="F692" s="94">
        <v>5.6</v>
      </c>
      <c r="G692" s="232"/>
      <c r="H692" s="232"/>
      <c r="I692" s="232">
        <f>147.96*5.6</f>
        <v>828.57600000000002</v>
      </c>
      <c r="J692" s="232">
        <f>147.96*95</f>
        <v>14056.2</v>
      </c>
      <c r="K692" s="232"/>
      <c r="L692" s="232"/>
      <c r="M692" s="232"/>
      <c r="N692" s="232"/>
      <c r="O692" s="232"/>
      <c r="P692" s="233"/>
      <c r="Q692" s="247"/>
      <c r="R692" s="248"/>
      <c r="S692" s="235"/>
    </row>
    <row r="693" spans="1:19" s="2" customFormat="1" ht="39" customHeight="1" x14ac:dyDescent="0.25">
      <c r="A693" s="18"/>
      <c r="B693" s="122"/>
      <c r="C693" s="132" t="s">
        <v>50</v>
      </c>
      <c r="D693" s="100" t="s">
        <v>209</v>
      </c>
      <c r="E693" s="89">
        <f>SUM(E691:E692)</f>
        <v>4366.6799999999994</v>
      </c>
      <c r="F693" s="89"/>
      <c r="G693" s="87">
        <f>SUM(G691:G692)</f>
        <v>16960.403200000001</v>
      </c>
      <c r="H693" s="87">
        <f>SUM(H691:H692)</f>
        <v>215334.58000000002</v>
      </c>
      <c r="I693" s="87">
        <f>SUM(I691:I692)</f>
        <v>1466.5260000000001</v>
      </c>
      <c r="J693" s="87">
        <f>SUM(J691:J692)</f>
        <v>23397.64</v>
      </c>
      <c r="K693" s="87"/>
      <c r="L693" s="87"/>
      <c r="M693" s="87"/>
      <c r="N693" s="87"/>
      <c r="O693" s="87"/>
      <c r="P693" s="221" t="s">
        <v>187</v>
      </c>
      <c r="Q693" s="76"/>
      <c r="R693" s="77"/>
      <c r="S693" s="50"/>
    </row>
    <row r="694" spans="1:19" s="236" customFormat="1" ht="39" customHeight="1" x14ac:dyDescent="0.25">
      <c r="A694" s="230"/>
      <c r="B694" s="237"/>
      <c r="C694" s="131" t="s">
        <v>50</v>
      </c>
      <c r="D694" s="99" t="s">
        <v>215</v>
      </c>
      <c r="E694" s="231">
        <v>201.89</v>
      </c>
      <c r="F694" s="94">
        <v>5.6</v>
      </c>
      <c r="G694" s="232">
        <f>204.68*5.6</f>
        <v>1146.2079999999999</v>
      </c>
      <c r="H694" s="232">
        <f>9341.44+90.76*95</f>
        <v>17963.64</v>
      </c>
      <c r="I694" s="232">
        <f>259.09*5.6</f>
        <v>1450.9039999999998</v>
      </c>
      <c r="J694" s="232">
        <f>259.09*95</f>
        <v>24613.55</v>
      </c>
      <c r="K694" s="232"/>
      <c r="L694" s="232"/>
      <c r="M694" s="232"/>
      <c r="N694" s="232"/>
      <c r="O694" s="232"/>
      <c r="P694" s="233"/>
      <c r="Q694" s="247"/>
      <c r="R694" s="248"/>
      <c r="S694" s="235"/>
    </row>
    <row r="695" spans="1:19" s="2" customFormat="1" ht="39" customHeight="1" x14ac:dyDescent="0.25">
      <c r="A695" s="18"/>
      <c r="B695" s="122"/>
      <c r="C695" s="132" t="s">
        <v>50</v>
      </c>
      <c r="D695" s="100" t="s">
        <v>216</v>
      </c>
      <c r="E695" s="89">
        <f>SUM(E693:E694)</f>
        <v>4568.57</v>
      </c>
      <c r="F695" s="89"/>
      <c r="G695" s="87">
        <f>SUM(G693:G694)</f>
        <v>18106.611199999999</v>
      </c>
      <c r="H695" s="87">
        <f>SUM(H693:H694)</f>
        <v>233298.22000000003</v>
      </c>
      <c r="I695" s="87">
        <v>1450.9</v>
      </c>
      <c r="J695" s="87">
        <v>24613.55</v>
      </c>
      <c r="K695" s="87"/>
      <c r="L695" s="87"/>
      <c r="M695" s="87"/>
      <c r="N695" s="87"/>
      <c r="O695" s="87"/>
      <c r="P695" s="221" t="s">
        <v>187</v>
      </c>
      <c r="Q695" s="76"/>
      <c r="R695" s="77"/>
      <c r="S695" s="50"/>
    </row>
    <row r="696" spans="1:19" s="2" customFormat="1" ht="39" customHeight="1" x14ac:dyDescent="0.25">
      <c r="A696" s="20"/>
      <c r="B696" s="129"/>
      <c r="C696" s="131" t="s">
        <v>50</v>
      </c>
      <c r="D696" s="99" t="s">
        <v>218</v>
      </c>
      <c r="E696" s="93">
        <v>244.14</v>
      </c>
      <c r="F696" s="94">
        <v>5.6</v>
      </c>
      <c r="G696" s="94"/>
      <c r="H696" s="94"/>
      <c r="I696" s="94">
        <f>244.14*5.6</f>
        <v>1367.1839999999997</v>
      </c>
      <c r="J696" s="94">
        <f>244.14*95</f>
        <v>23193.3</v>
      </c>
      <c r="K696" s="94"/>
      <c r="L696" s="94"/>
      <c r="M696" s="94"/>
      <c r="N696" s="94"/>
      <c r="O696" s="94"/>
      <c r="P696" s="220"/>
      <c r="Q696" s="73"/>
      <c r="R696" s="74"/>
      <c r="S696" s="47"/>
    </row>
    <row r="697" spans="1:19" s="2" customFormat="1" ht="39" customHeight="1" x14ac:dyDescent="0.25">
      <c r="A697" s="18"/>
      <c r="B697" s="122"/>
      <c r="C697" s="132" t="s">
        <v>50</v>
      </c>
      <c r="D697" s="100" t="s">
        <v>219</v>
      </c>
      <c r="E697" s="89">
        <f>SUM(E695:E696)</f>
        <v>4812.71</v>
      </c>
      <c r="F697" s="89"/>
      <c r="G697" s="87">
        <v>18106.61</v>
      </c>
      <c r="H697" s="87">
        <v>233298.22</v>
      </c>
      <c r="I697" s="87">
        <f>SUM(I695:I696)</f>
        <v>2818.0839999999998</v>
      </c>
      <c r="J697" s="87">
        <f>SUM(J695:J696)</f>
        <v>47806.85</v>
      </c>
      <c r="K697" s="87"/>
      <c r="L697" s="87"/>
      <c r="M697" s="87"/>
      <c r="N697" s="87"/>
      <c r="O697" s="87"/>
      <c r="P697" s="221" t="s">
        <v>187</v>
      </c>
      <c r="Q697" s="76"/>
      <c r="R697" s="77"/>
      <c r="S697" s="50"/>
    </row>
    <row r="698" spans="1:19" s="236" customFormat="1" ht="39" customHeight="1" x14ac:dyDescent="0.25">
      <c r="A698" s="230"/>
      <c r="B698" s="237"/>
      <c r="C698" s="131" t="s">
        <v>50</v>
      </c>
      <c r="D698" s="99" t="s">
        <v>227</v>
      </c>
      <c r="E698" s="231">
        <v>187.14</v>
      </c>
      <c r="F698" s="94">
        <v>5.6</v>
      </c>
      <c r="G698" s="232"/>
      <c r="H698" s="232"/>
      <c r="I698" s="232">
        <f>187.14*5.6</f>
        <v>1047.9839999999999</v>
      </c>
      <c r="J698" s="232">
        <f>187.14*95</f>
        <v>17778.3</v>
      </c>
      <c r="K698" s="232"/>
      <c r="L698" s="232"/>
      <c r="M698" s="232"/>
      <c r="N698" s="232"/>
      <c r="O698" s="232"/>
      <c r="P698" s="233" t="s">
        <v>234</v>
      </c>
      <c r="Q698" s="247"/>
      <c r="R698" s="248"/>
      <c r="S698" s="235"/>
    </row>
    <row r="699" spans="1:19" s="2" customFormat="1" ht="39" customHeight="1" x14ac:dyDescent="0.25">
      <c r="A699" s="18"/>
      <c r="B699" s="122"/>
      <c r="C699" s="132" t="s">
        <v>50</v>
      </c>
      <c r="D699" s="100" t="s">
        <v>228</v>
      </c>
      <c r="E699" s="89">
        <f>SUM(E697:E698)</f>
        <v>4999.8500000000004</v>
      </c>
      <c r="F699" s="89"/>
      <c r="G699" s="87">
        <f>SUM(G697:G698)</f>
        <v>18106.61</v>
      </c>
      <c r="H699" s="87">
        <f>SUM(H697:H698)</f>
        <v>233298.22</v>
      </c>
      <c r="I699" s="87">
        <f>SUM(I697:I698)</f>
        <v>3866.0679999999998</v>
      </c>
      <c r="J699" s="87">
        <f>SUM(J697:J698)</f>
        <v>65585.149999999994</v>
      </c>
      <c r="K699" s="87"/>
      <c r="L699" s="87"/>
      <c r="M699" s="87"/>
      <c r="N699" s="87"/>
      <c r="O699" s="87"/>
      <c r="P699" s="221" t="s">
        <v>244</v>
      </c>
      <c r="Q699" s="76"/>
      <c r="R699" s="77"/>
      <c r="S699" s="50"/>
    </row>
    <row r="700" spans="1:19" s="2" customFormat="1" ht="39" customHeight="1" x14ac:dyDescent="0.25">
      <c r="A700" s="18"/>
      <c r="B700" s="122"/>
      <c r="C700" s="132" t="s">
        <v>50</v>
      </c>
      <c r="D700" s="100" t="s">
        <v>247</v>
      </c>
      <c r="E700" s="89">
        <v>6562.41</v>
      </c>
      <c r="F700" s="89"/>
      <c r="G700" s="87">
        <v>18106.599999999999</v>
      </c>
      <c r="H700" s="87">
        <v>235706.39</v>
      </c>
      <c r="I700" s="87">
        <v>33207.49</v>
      </c>
      <c r="J700" s="87">
        <v>447326.57</v>
      </c>
      <c r="K700" s="87"/>
      <c r="L700" s="87"/>
      <c r="M700" s="87"/>
      <c r="N700" s="87"/>
      <c r="O700" s="87"/>
      <c r="P700" s="221" t="s">
        <v>257</v>
      </c>
      <c r="Q700" s="76"/>
      <c r="R700" s="77"/>
      <c r="S700" s="50"/>
    </row>
    <row r="701" spans="1:19" x14ac:dyDescent="0.25">
      <c r="A701" s="26"/>
      <c r="B701" s="26"/>
      <c r="C701" s="26"/>
      <c r="D701" s="37"/>
      <c r="E701" s="78"/>
      <c r="F701" s="79"/>
      <c r="G701" s="79"/>
      <c r="H701" s="79"/>
      <c r="I701" s="79"/>
      <c r="J701" s="79"/>
      <c r="K701" s="37"/>
      <c r="L701" s="37"/>
      <c r="M701" s="37"/>
      <c r="N701" s="37"/>
      <c r="O701" s="37"/>
      <c r="P701" s="37"/>
      <c r="Q701" s="37"/>
      <c r="R701" s="80"/>
      <c r="S701" s="55"/>
    </row>
    <row r="702" spans="1:19" ht="42" customHeight="1" x14ac:dyDescent="0.25">
      <c r="A702" s="16"/>
      <c r="B702" s="168" t="s">
        <v>51</v>
      </c>
      <c r="C702" s="169" t="s">
        <v>52</v>
      </c>
      <c r="D702" s="160">
        <v>2011</v>
      </c>
      <c r="E702" s="161">
        <v>567</v>
      </c>
      <c r="F702" s="141">
        <v>3.67</v>
      </c>
      <c r="G702" s="94">
        <v>2627.72</v>
      </c>
      <c r="H702" s="94">
        <v>3402</v>
      </c>
      <c r="I702" s="84"/>
      <c r="J702" s="84"/>
      <c r="K702" s="84"/>
      <c r="L702" s="119"/>
      <c r="M702" s="119"/>
      <c r="N702" s="119"/>
      <c r="O702" s="119"/>
      <c r="P702" s="84">
        <v>0</v>
      </c>
      <c r="Q702" s="38"/>
      <c r="R702" s="75"/>
      <c r="S702" s="51"/>
    </row>
    <row r="703" spans="1:19" x14ac:dyDescent="0.25">
      <c r="A703" s="16"/>
      <c r="B703" s="170"/>
      <c r="C703" s="169" t="s">
        <v>52</v>
      </c>
      <c r="D703" s="160">
        <v>2012</v>
      </c>
      <c r="E703" s="161">
        <v>695</v>
      </c>
      <c r="F703" s="141">
        <v>7.6</v>
      </c>
      <c r="G703" s="94">
        <v>5031.78</v>
      </c>
      <c r="H703" s="94">
        <v>9552</v>
      </c>
      <c r="I703" s="84"/>
      <c r="J703" s="84"/>
      <c r="K703" s="84"/>
      <c r="L703" s="119"/>
      <c r="M703" s="119"/>
      <c r="N703" s="119"/>
      <c r="O703" s="119"/>
      <c r="P703" s="84">
        <v>0</v>
      </c>
      <c r="Q703" s="38"/>
      <c r="R703" s="75"/>
      <c r="S703" s="51"/>
    </row>
    <row r="704" spans="1:19" ht="36.75" customHeight="1" x14ac:dyDescent="0.25">
      <c r="A704" s="18"/>
      <c r="B704" s="171"/>
      <c r="C704" s="172" t="s">
        <v>52</v>
      </c>
      <c r="D704" s="96" t="s">
        <v>25</v>
      </c>
      <c r="E704" s="89">
        <f>SUM(E702:E703)</f>
        <v>1262</v>
      </c>
      <c r="F704" s="87"/>
      <c r="G704" s="87">
        <f>SUM(G702:G703)</f>
        <v>7659.5</v>
      </c>
      <c r="H704" s="87">
        <f t="shared" ref="H704" si="218">SUM(H702:H703)</f>
        <v>12954</v>
      </c>
      <c r="I704" s="87"/>
      <c r="J704" s="87"/>
      <c r="K704" s="87"/>
      <c r="L704" s="122"/>
      <c r="M704" s="122"/>
      <c r="N704" s="122"/>
      <c r="O704" s="122"/>
      <c r="P704" s="87">
        <v>0</v>
      </c>
      <c r="Q704" s="76"/>
      <c r="R704" s="77"/>
      <c r="S704" s="50"/>
    </row>
    <row r="705" spans="1:22" x14ac:dyDescent="0.25">
      <c r="A705" s="16"/>
      <c r="B705" s="170"/>
      <c r="C705" s="169" t="s">
        <v>52</v>
      </c>
      <c r="D705" s="160">
        <v>2013</v>
      </c>
      <c r="E705" s="161">
        <v>700</v>
      </c>
      <c r="F705" s="141">
        <v>7.6</v>
      </c>
      <c r="G705" s="94">
        <v>5335.2</v>
      </c>
      <c r="H705" s="94">
        <v>18246</v>
      </c>
      <c r="I705" s="84"/>
      <c r="J705" s="84"/>
      <c r="K705" s="84"/>
      <c r="L705" s="119"/>
      <c r="M705" s="119"/>
      <c r="N705" s="119"/>
      <c r="O705" s="119"/>
      <c r="P705" s="84">
        <v>0</v>
      </c>
      <c r="Q705" s="38"/>
      <c r="R705" s="75"/>
      <c r="S705" s="51"/>
    </row>
    <row r="706" spans="1:22" ht="39.75" customHeight="1" x14ac:dyDescent="0.25">
      <c r="A706" s="18"/>
      <c r="B706" s="171"/>
      <c r="C706" s="172" t="s">
        <v>52</v>
      </c>
      <c r="D706" s="96" t="s">
        <v>38</v>
      </c>
      <c r="E706" s="89">
        <f>SUM(E704:E705)</f>
        <v>1962</v>
      </c>
      <c r="F706" s="87"/>
      <c r="G706" s="87">
        <f>SUM(G704:G705)</f>
        <v>12994.7</v>
      </c>
      <c r="H706" s="87">
        <f t="shared" ref="H706" si="219">SUM(H704:H705)</f>
        <v>31200</v>
      </c>
      <c r="I706" s="87"/>
      <c r="J706" s="87"/>
      <c r="K706" s="87"/>
      <c r="L706" s="122"/>
      <c r="M706" s="122"/>
      <c r="N706" s="122"/>
      <c r="O706" s="122"/>
      <c r="P706" s="87">
        <v>0</v>
      </c>
      <c r="Q706" s="76"/>
      <c r="R706" s="77"/>
      <c r="S706" s="50"/>
    </row>
    <row r="707" spans="1:22" x14ac:dyDescent="0.25">
      <c r="A707" s="16"/>
      <c r="B707" s="119"/>
      <c r="C707" s="169" t="s">
        <v>52</v>
      </c>
      <c r="D707" s="160">
        <v>2014</v>
      </c>
      <c r="E707" s="161">
        <v>694</v>
      </c>
      <c r="F707" s="141">
        <v>7.6</v>
      </c>
      <c r="G707" s="94">
        <v>5274.4</v>
      </c>
      <c r="H707" s="94">
        <v>20944</v>
      </c>
      <c r="I707" s="84"/>
      <c r="J707" s="84"/>
      <c r="K707" s="84"/>
      <c r="L707" s="119"/>
      <c r="M707" s="119"/>
      <c r="N707" s="119"/>
      <c r="O707" s="119"/>
      <c r="P707" s="84">
        <v>0</v>
      </c>
      <c r="Q707" s="38"/>
      <c r="R707" s="75"/>
      <c r="S707" s="51"/>
    </row>
    <row r="708" spans="1:22" ht="38.25" customHeight="1" x14ac:dyDescent="0.25">
      <c r="A708" s="18"/>
      <c r="B708" s="122"/>
      <c r="C708" s="172" t="s">
        <v>52</v>
      </c>
      <c r="D708" s="96" t="s">
        <v>24</v>
      </c>
      <c r="E708" s="89">
        <f>SUM(E706:E707)</f>
        <v>2656</v>
      </c>
      <c r="F708" s="87"/>
      <c r="G708" s="87">
        <f>SUM(G706:G707)</f>
        <v>18269.099999999999</v>
      </c>
      <c r="H708" s="87">
        <f t="shared" ref="H708" si="220">SUM(H706:H707)</f>
        <v>52144</v>
      </c>
      <c r="I708" s="87"/>
      <c r="J708" s="87"/>
      <c r="K708" s="87"/>
      <c r="L708" s="122"/>
      <c r="M708" s="122"/>
      <c r="N708" s="122"/>
      <c r="O708" s="122"/>
      <c r="P708" s="87">
        <v>0</v>
      </c>
      <c r="Q708" s="76"/>
      <c r="R708" s="77"/>
      <c r="S708" s="50"/>
    </row>
    <row r="709" spans="1:22" x14ac:dyDescent="0.25">
      <c r="A709" s="16"/>
      <c r="B709" s="119"/>
      <c r="C709" s="169" t="s">
        <v>52</v>
      </c>
      <c r="D709" s="160">
        <v>2015</v>
      </c>
      <c r="E709" s="137">
        <v>694</v>
      </c>
      <c r="F709" s="84">
        <v>25.27</v>
      </c>
      <c r="G709" s="94">
        <v>18021.12</v>
      </c>
      <c r="H709" s="94">
        <v>19090</v>
      </c>
      <c r="I709" s="84"/>
      <c r="J709" s="84"/>
      <c r="K709" s="84"/>
      <c r="L709" s="119"/>
      <c r="M709" s="119"/>
      <c r="N709" s="119"/>
      <c r="O709" s="119"/>
      <c r="P709" s="179">
        <v>69554</v>
      </c>
      <c r="Q709" s="38"/>
      <c r="R709" s="75"/>
      <c r="S709" s="51"/>
    </row>
    <row r="710" spans="1:22" ht="36.75" customHeight="1" x14ac:dyDescent="0.25">
      <c r="A710" s="18"/>
      <c r="B710" s="122"/>
      <c r="C710" s="172" t="s">
        <v>52</v>
      </c>
      <c r="D710" s="96" t="s">
        <v>26</v>
      </c>
      <c r="E710" s="89">
        <f>SUM(E708:E709)</f>
        <v>3350</v>
      </c>
      <c r="F710" s="87"/>
      <c r="G710" s="87">
        <f>SUM(G708:G709)</f>
        <v>36290.22</v>
      </c>
      <c r="H710" s="87">
        <f t="shared" ref="H710:H712" si="221">SUM(H708:H709)</f>
        <v>71234</v>
      </c>
      <c r="I710" s="87"/>
      <c r="J710" s="87"/>
      <c r="K710" s="87"/>
      <c r="L710" s="122"/>
      <c r="M710" s="122"/>
      <c r="N710" s="122"/>
      <c r="O710" s="122"/>
      <c r="P710" s="185">
        <v>69554</v>
      </c>
      <c r="Q710" s="76"/>
      <c r="R710" s="77"/>
      <c r="S710" s="50"/>
      <c r="V710" s="2"/>
    </row>
    <row r="711" spans="1:22" x14ac:dyDescent="0.25">
      <c r="A711" s="16"/>
      <c r="B711" s="119"/>
      <c r="C711" s="169" t="s">
        <v>52</v>
      </c>
      <c r="D711" s="99" t="s">
        <v>29</v>
      </c>
      <c r="E711" s="137">
        <v>174</v>
      </c>
      <c r="F711" s="153">
        <v>25.27</v>
      </c>
      <c r="G711" s="94">
        <v>4396.9799999999996</v>
      </c>
      <c r="H711" s="94">
        <v>6264</v>
      </c>
      <c r="I711" s="84"/>
      <c r="J711" s="84"/>
      <c r="K711" s="84"/>
      <c r="L711" s="119"/>
      <c r="M711" s="119"/>
      <c r="N711" s="119"/>
      <c r="O711" s="119"/>
      <c r="P711" s="84">
        <v>0</v>
      </c>
      <c r="Q711" s="38"/>
      <c r="R711" s="75"/>
      <c r="S711" s="51"/>
    </row>
    <row r="712" spans="1:22" ht="38.25" x14ac:dyDescent="0.25">
      <c r="A712" s="18"/>
      <c r="B712" s="122"/>
      <c r="C712" s="172" t="s">
        <v>52</v>
      </c>
      <c r="D712" s="100" t="s">
        <v>30</v>
      </c>
      <c r="E712" s="89">
        <f>SUM(E710:E711)</f>
        <v>3524</v>
      </c>
      <c r="F712" s="87"/>
      <c r="G712" s="87">
        <f>SUM(G710:G711)</f>
        <v>40687.199999999997</v>
      </c>
      <c r="H712" s="87">
        <f t="shared" si="221"/>
        <v>77498</v>
      </c>
      <c r="I712" s="87"/>
      <c r="J712" s="87"/>
      <c r="K712" s="87"/>
      <c r="L712" s="122"/>
      <c r="M712" s="122"/>
      <c r="N712" s="122"/>
      <c r="O712" s="122"/>
      <c r="P712" s="185">
        <v>69554</v>
      </c>
      <c r="Q712" s="76"/>
      <c r="R712" s="77"/>
      <c r="S712" s="50"/>
    </row>
    <row r="713" spans="1:22" x14ac:dyDescent="0.25">
      <c r="A713" s="16"/>
      <c r="B713" s="119"/>
      <c r="C713" s="169" t="s">
        <v>52</v>
      </c>
      <c r="D713" s="99" t="s">
        <v>31</v>
      </c>
      <c r="E713" s="137">
        <v>186</v>
      </c>
      <c r="F713" s="153">
        <v>25.27</v>
      </c>
      <c r="G713" s="94">
        <v>4700.22</v>
      </c>
      <c r="H713" s="94">
        <v>6696</v>
      </c>
      <c r="I713" s="84"/>
      <c r="J713" s="84"/>
      <c r="K713" s="84"/>
      <c r="L713" s="119"/>
      <c r="M713" s="119"/>
      <c r="N713" s="119"/>
      <c r="O713" s="119"/>
      <c r="P713" s="179">
        <v>4800</v>
      </c>
      <c r="Q713" s="38"/>
      <c r="R713" s="75"/>
      <c r="S713" s="51"/>
    </row>
    <row r="714" spans="1:22" ht="45.75" customHeight="1" x14ac:dyDescent="0.25">
      <c r="A714" s="18"/>
      <c r="B714" s="122"/>
      <c r="C714" s="172" t="s">
        <v>52</v>
      </c>
      <c r="D714" s="100" t="s">
        <v>32</v>
      </c>
      <c r="E714" s="89">
        <f>SUM(E712:E713)</f>
        <v>3710</v>
      </c>
      <c r="F714" s="87"/>
      <c r="G714" s="87">
        <f>SUM(G712:G713)</f>
        <v>45387.42</v>
      </c>
      <c r="H714" s="87">
        <f t="shared" ref="H714" si="222">SUM(H712:H713)</f>
        <v>84194</v>
      </c>
      <c r="I714" s="87"/>
      <c r="J714" s="87"/>
      <c r="K714" s="87"/>
      <c r="L714" s="122"/>
      <c r="M714" s="122"/>
      <c r="N714" s="122"/>
      <c r="O714" s="122"/>
      <c r="P714" s="185">
        <f>SUM(P712:P713)</f>
        <v>74354</v>
      </c>
      <c r="Q714" s="76"/>
      <c r="R714" s="77"/>
      <c r="S714" s="50"/>
    </row>
    <row r="715" spans="1:22" s="2" customFormat="1" ht="45.75" customHeight="1" x14ac:dyDescent="0.25">
      <c r="A715" s="20"/>
      <c r="B715" s="129"/>
      <c r="C715" s="226" t="s">
        <v>52</v>
      </c>
      <c r="D715" s="104"/>
      <c r="E715" s="93">
        <v>0</v>
      </c>
      <c r="F715" s="94"/>
      <c r="G715" s="94"/>
      <c r="H715" s="94"/>
      <c r="I715" s="94"/>
      <c r="J715" s="94"/>
      <c r="K715" s="94"/>
      <c r="L715" s="129"/>
      <c r="M715" s="129"/>
      <c r="N715" s="129"/>
      <c r="O715" s="129"/>
      <c r="P715" s="225">
        <v>8400</v>
      </c>
      <c r="Q715" s="73"/>
      <c r="R715" s="73"/>
      <c r="S715" s="47"/>
    </row>
    <row r="716" spans="1:22" s="2" customFormat="1" ht="45.75" customHeight="1" x14ac:dyDescent="0.25">
      <c r="A716" s="18"/>
      <c r="B716" s="122"/>
      <c r="C716" s="224" t="s">
        <v>52</v>
      </c>
      <c r="D716" s="100" t="s">
        <v>32</v>
      </c>
      <c r="E716" s="89">
        <v>3710</v>
      </c>
      <c r="F716" s="87"/>
      <c r="G716" s="87">
        <v>45387.42</v>
      </c>
      <c r="H716" s="87">
        <v>84194</v>
      </c>
      <c r="I716" s="87"/>
      <c r="J716" s="87"/>
      <c r="K716" s="87"/>
      <c r="L716" s="122"/>
      <c r="M716" s="122"/>
      <c r="N716" s="122"/>
      <c r="O716" s="122"/>
      <c r="P716" s="185">
        <f>P714+P715</f>
        <v>82754</v>
      </c>
      <c r="Q716" s="76"/>
      <c r="R716" s="76"/>
      <c r="S716" s="50"/>
    </row>
    <row r="717" spans="1:22" s="2" customFormat="1" ht="45.75" customHeight="1" x14ac:dyDescent="0.25">
      <c r="A717" s="251"/>
      <c r="B717" s="122"/>
      <c r="C717" s="224" t="s">
        <v>52</v>
      </c>
      <c r="D717" s="100" t="s">
        <v>214</v>
      </c>
      <c r="E717" s="224"/>
      <c r="F717" s="224"/>
      <c r="G717" s="87">
        <v>45387.42</v>
      </c>
      <c r="H717" s="87">
        <v>84194</v>
      </c>
      <c r="I717" s="224"/>
      <c r="J717" s="224"/>
      <c r="K717" s="87"/>
      <c r="L717" s="87"/>
      <c r="M717" s="87"/>
      <c r="N717" s="87"/>
      <c r="O717" s="87"/>
      <c r="P717" s="185" t="s">
        <v>213</v>
      </c>
      <c r="Q717" s="87"/>
      <c r="R717" s="87"/>
      <c r="S717" s="87"/>
    </row>
    <row r="718" spans="1:22" ht="35.25" customHeight="1" x14ac:dyDescent="0.25">
      <c r="A718" s="260" t="s">
        <v>62</v>
      </c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2"/>
    </row>
    <row r="719" spans="1:22" x14ac:dyDescent="0.25">
      <c r="G719" s="192"/>
      <c r="H719" s="192"/>
    </row>
    <row r="720" spans="1:22" x14ac:dyDescent="0.25">
      <c r="G720" s="193"/>
      <c r="H720" s="193"/>
    </row>
    <row r="721" spans="7:8" x14ac:dyDescent="0.25">
      <c r="G721" s="193"/>
      <c r="H721" s="193"/>
    </row>
    <row r="722" spans="7:8" x14ac:dyDescent="0.25">
      <c r="G722" s="193"/>
      <c r="H722" s="193"/>
    </row>
    <row r="723" spans="7:8" x14ac:dyDescent="0.25">
      <c r="G723" s="193"/>
      <c r="H723" s="193"/>
    </row>
    <row r="724" spans="7:8" x14ac:dyDescent="0.25">
      <c r="G724" s="193"/>
      <c r="H724" s="193"/>
    </row>
    <row r="725" spans="7:8" x14ac:dyDescent="0.25">
      <c r="G725" s="193"/>
      <c r="H725" s="193"/>
    </row>
    <row r="726" spans="7:8" x14ac:dyDescent="0.25">
      <c r="G726" s="193"/>
      <c r="H726" s="193"/>
    </row>
    <row r="727" spans="7:8" x14ac:dyDescent="0.25">
      <c r="G727" s="193"/>
      <c r="H727" s="193"/>
    </row>
    <row r="728" spans="7:8" x14ac:dyDescent="0.25">
      <c r="G728" s="193"/>
      <c r="H728" s="193"/>
    </row>
    <row r="729" spans="7:8" x14ac:dyDescent="0.25">
      <c r="G729" s="193"/>
      <c r="H729" s="193"/>
    </row>
    <row r="730" spans="7:8" x14ac:dyDescent="0.25">
      <c r="G730" s="193"/>
      <c r="H730" s="193"/>
    </row>
    <row r="731" spans="7:8" x14ac:dyDescent="0.25">
      <c r="G731" s="193"/>
      <c r="H731" s="193"/>
    </row>
    <row r="732" spans="7:8" x14ac:dyDescent="0.25">
      <c r="G732" s="193"/>
      <c r="H732" s="193"/>
    </row>
    <row r="733" spans="7:8" x14ac:dyDescent="0.25">
      <c r="G733" s="193"/>
      <c r="H733" s="193"/>
    </row>
    <row r="734" spans="7:8" x14ac:dyDescent="0.25">
      <c r="G734" s="193"/>
      <c r="H734" s="193"/>
    </row>
    <row r="735" spans="7:8" x14ac:dyDescent="0.25">
      <c r="G735" s="193"/>
      <c r="H735" s="193"/>
    </row>
    <row r="736" spans="7:8" x14ac:dyDescent="0.25">
      <c r="G736" s="193"/>
      <c r="H736" s="193"/>
    </row>
    <row r="737" spans="7:8" x14ac:dyDescent="0.25">
      <c r="G737" s="193"/>
      <c r="H737" s="193"/>
    </row>
    <row r="738" spans="7:8" x14ac:dyDescent="0.25">
      <c r="G738" s="193"/>
      <c r="H738" s="193"/>
    </row>
    <row r="739" spans="7:8" x14ac:dyDescent="0.25">
      <c r="G739" s="193"/>
      <c r="H739" s="193"/>
    </row>
    <row r="740" spans="7:8" x14ac:dyDescent="0.25">
      <c r="G740" s="193"/>
      <c r="H740" s="193"/>
    </row>
    <row r="741" spans="7:8" x14ac:dyDescent="0.25">
      <c r="G741" s="193"/>
      <c r="H741" s="193"/>
    </row>
    <row r="742" spans="7:8" x14ac:dyDescent="0.25">
      <c r="G742" s="193"/>
      <c r="H742" s="193"/>
    </row>
    <row r="743" spans="7:8" x14ac:dyDescent="0.25">
      <c r="G743" s="193"/>
      <c r="H743" s="193"/>
    </row>
    <row r="744" spans="7:8" x14ac:dyDescent="0.25">
      <c r="G744" s="193"/>
      <c r="H744" s="193"/>
    </row>
    <row r="745" spans="7:8" x14ac:dyDescent="0.25">
      <c r="G745" s="193"/>
      <c r="H745" s="193"/>
    </row>
    <row r="746" spans="7:8" x14ac:dyDescent="0.25">
      <c r="G746" s="193"/>
      <c r="H746" s="193"/>
    </row>
    <row r="747" spans="7:8" x14ac:dyDescent="0.25">
      <c r="G747" s="193"/>
      <c r="H747" s="193"/>
    </row>
    <row r="748" spans="7:8" x14ac:dyDescent="0.25">
      <c r="G748" s="193"/>
      <c r="H748" s="193"/>
    </row>
    <row r="749" spans="7:8" x14ac:dyDescent="0.25">
      <c r="G749" s="193"/>
      <c r="H749" s="193"/>
    </row>
    <row r="750" spans="7:8" x14ac:dyDescent="0.25">
      <c r="G750" s="193"/>
      <c r="H750" s="193"/>
    </row>
    <row r="751" spans="7:8" x14ac:dyDescent="0.25">
      <c r="G751" s="193"/>
      <c r="H751" s="193"/>
    </row>
    <row r="752" spans="7:8" x14ac:dyDescent="0.25">
      <c r="G752" s="193"/>
      <c r="H752" s="193"/>
    </row>
    <row r="753" spans="7:8" x14ac:dyDescent="0.25">
      <c r="G753" s="193"/>
      <c r="H753" s="193"/>
    </row>
    <row r="754" spans="7:8" x14ac:dyDescent="0.25">
      <c r="G754" s="193"/>
      <c r="H754" s="193"/>
    </row>
    <row r="755" spans="7:8" x14ac:dyDescent="0.25">
      <c r="G755" s="193"/>
      <c r="H755" s="193"/>
    </row>
    <row r="756" spans="7:8" x14ac:dyDescent="0.25">
      <c r="G756" s="193"/>
      <c r="H756" s="193"/>
    </row>
  </sheetData>
  <mergeCells count="25">
    <mergeCell ref="A1:S1"/>
    <mergeCell ref="E2:S2"/>
    <mergeCell ref="Q3:Q6"/>
    <mergeCell ref="R3:R6"/>
    <mergeCell ref="I3:I6"/>
    <mergeCell ref="J3:J6"/>
    <mergeCell ref="K3:K6"/>
    <mergeCell ref="L3:L6"/>
    <mergeCell ref="M3:M6"/>
    <mergeCell ref="C2:D2"/>
    <mergeCell ref="A3:A6"/>
    <mergeCell ref="B3:B6"/>
    <mergeCell ref="C3:C6"/>
    <mergeCell ref="P3:P6"/>
    <mergeCell ref="D3:E5"/>
    <mergeCell ref="F3:F6"/>
    <mergeCell ref="L84:M84"/>
    <mergeCell ref="L161:M161"/>
    <mergeCell ref="S249:S250"/>
    <mergeCell ref="A718:S718"/>
    <mergeCell ref="S3:S6"/>
    <mergeCell ref="G3:H5"/>
    <mergeCell ref="N3:N6"/>
    <mergeCell ref="O3:O6"/>
    <mergeCell ref="L171:M171"/>
  </mergeCells>
  <pageMargins left="0.7" right="0.7" top="0.75" bottom="0.75" header="0.3" footer="0.3"/>
  <pageSetup paperSize="9" orientation="landscape" verticalDpi="300" r:id="rId1"/>
  <ignoredErrors>
    <ignoredError sqref="P126 P215 P301 P443 P512 P581 E190 E45 H133 G133 P225 E135 H126 P714 P155" formulaRange="1"/>
    <ignoredError sqref="G190 G193 G196 G199 G203 G206 G209 G212 G215 G285:G289 G290 G295:G296 G297:G302 G354:G362 G367:G373 G425:G426 G427:G444 G493:G494 G495:G501 G506:G507 G508:G509 G510:G513 G562:G570 G575:G581 G633:G641 G646:G649 G650:G652 H376 G45 G127:G128 G38 G29 G35 G225:H225 G517:H517 G448:H448 G379:H379 G307:H307 G658:H658 G136:H136 G134:H135 G51:H51 G137:H137 G308:H309 G380:G382 H380:H382 G449:H449 G518:H518 G589:H589 G659:H660 G450:H450 G519:H519 G228 G520:H520 G451:H452 G310:H310 G590:H590 G661:H661 G453:H453 G58 G142:G143 H143 G667:H667 G596:H596 G454:H454 G666 G595 G525:G536 G455:G466 G387:G391 G315:G319 G235 G238:H238 H316:H319 H388:H391 H456:H462 H526:H532 H148 G61:H61 H66 G597:H598 G668:H669 H241 G599:H599 G670:H670 G324:G325 H245 G675:G678 G604:G607 G396:G399 G73 G153:G154 G76 G155:G156 G251 H399 H466 H536 H607 G538:H538 H678 G401:H401 G468:H468 G329 G161:H161 G609:H609 G680:H680 G85 G469:H470 G539:H540 G611:H611 G613:H613 H263 H262 G335:I335 J335 G407:J407 G474:J474 H544:J544 G615:J615 G686:J686 G610:H610 G542:H542 H472 G4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petq</cp:lastModifiedBy>
  <cp:lastPrinted>2017-10-27T10:14:04Z</cp:lastPrinted>
  <dcterms:created xsi:type="dcterms:W3CDTF">2017-02-08T09:35:09Z</dcterms:created>
  <dcterms:modified xsi:type="dcterms:W3CDTF">2025-03-12T09:12:05Z</dcterms:modified>
</cp:coreProperties>
</file>