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65" windowWidth="8595" windowHeight="80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Лист1!$A$1:$S$32</definedName>
  </definedNames>
  <calcPr calcId="145621" iterate="1"/>
</workbook>
</file>

<file path=xl/calcChain.xml><?xml version="1.0" encoding="utf-8"?>
<calcChain xmlns="http://schemas.openxmlformats.org/spreadsheetml/2006/main">
  <c r="I546" i="1" l="1"/>
  <c r="H546" i="1"/>
  <c r="J482" i="1"/>
  <c r="G686" i="1"/>
  <c r="J274" i="1"/>
  <c r="J179" i="1"/>
  <c r="I179" i="1"/>
  <c r="E179" i="1"/>
  <c r="J178" i="1"/>
  <c r="I178" i="1"/>
  <c r="H104" i="1"/>
  <c r="G104" i="1"/>
  <c r="E104" i="1"/>
  <c r="J103" i="1"/>
  <c r="I103" i="1"/>
  <c r="H103" i="1"/>
  <c r="G103" i="1"/>
  <c r="H483" i="1" l="1"/>
  <c r="G483" i="1"/>
  <c r="E483" i="1"/>
  <c r="J483" i="1"/>
  <c r="I483" i="1"/>
  <c r="I482" i="1"/>
  <c r="H482" i="1"/>
  <c r="G482" i="1"/>
  <c r="H346" i="1"/>
  <c r="G346" i="1"/>
  <c r="H345" i="1"/>
  <c r="G345" i="1"/>
  <c r="H275" i="1"/>
  <c r="G275" i="1"/>
  <c r="E275" i="1"/>
  <c r="I274" i="1"/>
  <c r="H274" i="1"/>
  <c r="G274" i="1"/>
  <c r="I271" i="1"/>
  <c r="E346" i="1"/>
  <c r="J345" i="1"/>
  <c r="I345" i="1"/>
  <c r="J691" i="1" l="1"/>
  <c r="I691" i="1"/>
  <c r="H691" i="1"/>
  <c r="G691" i="1"/>
  <c r="E691" i="1"/>
  <c r="J690" i="1"/>
  <c r="I690" i="1"/>
  <c r="H686" i="1"/>
  <c r="H621" i="1"/>
  <c r="G621" i="1"/>
  <c r="E621" i="1"/>
  <c r="J620" i="1"/>
  <c r="I620" i="1"/>
  <c r="H620" i="1"/>
  <c r="G620" i="1"/>
  <c r="H551" i="1"/>
  <c r="G551" i="1"/>
  <c r="E551" i="1"/>
  <c r="J550" i="1"/>
  <c r="I550" i="1"/>
  <c r="H550" i="1"/>
  <c r="G550" i="1"/>
  <c r="H416" i="1"/>
  <c r="G416" i="1"/>
  <c r="E416" i="1"/>
  <c r="J415" i="1"/>
  <c r="I415" i="1"/>
  <c r="H415" i="1"/>
  <c r="G415" i="1"/>
  <c r="I479" i="1"/>
  <c r="G477" i="1"/>
  <c r="I616" i="1" l="1"/>
  <c r="J271" i="1"/>
  <c r="E689" i="1"/>
  <c r="J100" i="1"/>
  <c r="I100" i="1"/>
  <c r="H100" i="1"/>
  <c r="G100" i="1"/>
  <c r="I173" i="1"/>
  <c r="H481" i="1"/>
  <c r="G481" i="1"/>
  <c r="J479" i="1"/>
  <c r="J481" i="1" s="1"/>
  <c r="I481" i="1"/>
  <c r="H271" i="1"/>
  <c r="G271" i="1"/>
  <c r="J176" i="1"/>
  <c r="I176" i="1"/>
  <c r="J688" i="1"/>
  <c r="J689" i="1" s="1"/>
  <c r="I688" i="1"/>
  <c r="I689" i="1" s="1"/>
  <c r="J618" i="1"/>
  <c r="I618" i="1"/>
  <c r="H618" i="1"/>
  <c r="G618" i="1"/>
  <c r="J548" i="1"/>
  <c r="I548" i="1"/>
  <c r="H548" i="1"/>
  <c r="G548" i="1"/>
  <c r="J413" i="1" l="1"/>
  <c r="I413" i="1"/>
  <c r="J342" i="1" l="1"/>
  <c r="I342" i="1"/>
  <c r="H477" i="1" l="1"/>
  <c r="G269" i="1"/>
  <c r="J341" i="1" l="1"/>
  <c r="J344" i="1" s="1"/>
  <c r="I341" i="1"/>
  <c r="I344" i="1" s="1"/>
  <c r="J340" i="1"/>
  <c r="I340" i="1"/>
  <c r="J269" i="1"/>
  <c r="I269" i="1"/>
  <c r="J173" i="1" l="1"/>
  <c r="J686" i="1" l="1"/>
  <c r="I686" i="1"/>
  <c r="J616" i="1"/>
  <c r="H616" i="1"/>
  <c r="G616" i="1"/>
  <c r="J546" i="1"/>
  <c r="G546" i="1"/>
  <c r="J477" i="1"/>
  <c r="I477" i="1"/>
  <c r="J411" i="1"/>
  <c r="I411" i="1"/>
  <c r="H411" i="1"/>
  <c r="G411" i="1"/>
  <c r="H269" i="1"/>
  <c r="H340" i="1"/>
  <c r="J409" i="1"/>
  <c r="I407" i="1"/>
  <c r="G340" i="1"/>
  <c r="J175" i="1"/>
  <c r="J177" i="1" s="1"/>
  <c r="I175" i="1"/>
  <c r="I177" i="1" s="1"/>
  <c r="J97" i="1" l="1"/>
  <c r="I97" i="1"/>
  <c r="H97" i="1"/>
  <c r="G97" i="1"/>
  <c r="J171" i="1" l="1"/>
  <c r="I171" i="1"/>
  <c r="H171" i="1"/>
  <c r="G171" i="1"/>
  <c r="G95" i="1" l="1"/>
  <c r="H95" i="1"/>
  <c r="J95" i="1"/>
  <c r="I95" i="1"/>
  <c r="J684" i="1" l="1"/>
  <c r="J685" i="1" s="1"/>
  <c r="I684" i="1"/>
  <c r="I685" i="1" s="1"/>
  <c r="J614" i="1"/>
  <c r="J615" i="1" s="1"/>
  <c r="I614" i="1"/>
  <c r="I615" i="1" s="1"/>
  <c r="J544" i="1"/>
  <c r="J545" i="1" s="1"/>
  <c r="I544" i="1"/>
  <c r="I545" i="1" s="1"/>
  <c r="J475" i="1"/>
  <c r="J476" i="1" s="1"/>
  <c r="I475" i="1"/>
  <c r="I476" i="1" s="1"/>
  <c r="J410" i="1"/>
  <c r="I409" i="1"/>
  <c r="I410" i="1" s="1"/>
  <c r="J338" i="1"/>
  <c r="J339" i="1" s="1"/>
  <c r="I338" i="1"/>
  <c r="I339" i="1" s="1"/>
  <c r="J267" i="1"/>
  <c r="J268" i="1" s="1"/>
  <c r="I267" i="1"/>
  <c r="I268" i="1" s="1"/>
  <c r="H86" i="1" l="1"/>
  <c r="G261" i="1" l="1"/>
  <c r="J93" i="1" l="1"/>
  <c r="I93" i="1"/>
  <c r="G93" i="1" l="1"/>
  <c r="H93" i="1"/>
  <c r="J265" i="1"/>
  <c r="I265" i="1"/>
  <c r="H265" i="1"/>
  <c r="G265" i="1"/>
  <c r="J682" i="1"/>
  <c r="I682" i="1"/>
  <c r="H682" i="1"/>
  <c r="G682" i="1"/>
  <c r="J612" i="1" l="1"/>
  <c r="I612" i="1"/>
  <c r="H612" i="1"/>
  <c r="G612" i="1"/>
  <c r="J542" i="1"/>
  <c r="I542" i="1"/>
  <c r="H542" i="1"/>
  <c r="G542" i="1"/>
  <c r="J473" i="1"/>
  <c r="I473" i="1"/>
  <c r="H473" i="1"/>
  <c r="G473" i="1"/>
  <c r="J407" i="1"/>
  <c r="H407" i="1"/>
  <c r="G407" i="1"/>
  <c r="J336" i="1"/>
  <c r="I336" i="1"/>
  <c r="H336" i="1"/>
  <c r="G336" i="1"/>
  <c r="J169" i="1"/>
  <c r="I169" i="1"/>
  <c r="I540" i="1" l="1"/>
  <c r="J263" i="1" l="1"/>
  <c r="I263" i="1"/>
  <c r="J334" i="1"/>
  <c r="I334" i="1"/>
  <c r="J471" i="1"/>
  <c r="I471" i="1"/>
  <c r="J540" i="1"/>
  <c r="J610" i="1"/>
  <c r="I610" i="1"/>
  <c r="J680" i="1"/>
  <c r="I680" i="1"/>
  <c r="H680" i="1"/>
  <c r="G680" i="1"/>
  <c r="H610" i="1"/>
  <c r="G610" i="1"/>
  <c r="H263" i="1"/>
  <c r="G263" i="1"/>
  <c r="H334" i="1"/>
  <c r="G334" i="1"/>
  <c r="H405" i="1"/>
  <c r="G405" i="1"/>
  <c r="H471" i="1"/>
  <c r="G471" i="1"/>
  <c r="H540" i="1"/>
  <c r="G540" i="1"/>
  <c r="J405" i="1" l="1"/>
  <c r="I405" i="1"/>
  <c r="H91" i="1" l="1"/>
  <c r="G91" i="1"/>
  <c r="J167" i="1" l="1"/>
  <c r="I167" i="1" l="1"/>
  <c r="G538" i="1"/>
  <c r="J261" i="1" l="1"/>
  <c r="I261" i="1"/>
  <c r="H261" i="1"/>
  <c r="H676" i="1"/>
  <c r="G676" i="1"/>
  <c r="H259" i="1"/>
  <c r="G259" i="1"/>
  <c r="H330" i="1"/>
  <c r="G330" i="1"/>
  <c r="H401" i="1"/>
  <c r="G401" i="1"/>
  <c r="H467" i="1"/>
  <c r="G467" i="1"/>
  <c r="H536" i="1"/>
  <c r="G536" i="1"/>
  <c r="H606" i="1"/>
  <c r="G606" i="1"/>
  <c r="J678" i="1" l="1"/>
  <c r="I678" i="1"/>
  <c r="H678" i="1"/>
  <c r="G678" i="1"/>
  <c r="J608" i="1"/>
  <c r="I608" i="1"/>
  <c r="H608" i="1"/>
  <c r="G608" i="1"/>
  <c r="J538" i="1"/>
  <c r="I538" i="1"/>
  <c r="H538" i="1"/>
  <c r="J469" i="1"/>
  <c r="I469" i="1"/>
  <c r="H469" i="1"/>
  <c r="G469" i="1"/>
  <c r="J403" i="1"/>
  <c r="I403" i="1"/>
  <c r="H403" i="1"/>
  <c r="G403" i="1"/>
  <c r="J332" i="1"/>
  <c r="I332" i="1"/>
  <c r="H332" i="1"/>
  <c r="G332" i="1"/>
  <c r="I168" i="1" l="1"/>
  <c r="I170" i="1" s="1"/>
  <c r="I165" i="1"/>
  <c r="J165" i="1"/>
  <c r="J168" i="1" s="1"/>
  <c r="J170" i="1" s="1"/>
  <c r="H89" i="1"/>
  <c r="G89" i="1"/>
  <c r="I679" i="1"/>
  <c r="J679" i="1"/>
  <c r="J609" i="1"/>
  <c r="I609" i="1"/>
  <c r="J539" i="1"/>
  <c r="I539" i="1"/>
  <c r="J470" i="1"/>
  <c r="I470" i="1"/>
  <c r="J404" i="1"/>
  <c r="I404" i="1"/>
  <c r="J333" i="1"/>
  <c r="I333" i="1"/>
  <c r="I262" i="1"/>
  <c r="J262" i="1"/>
  <c r="G465" i="1" l="1"/>
  <c r="J162" i="1"/>
  <c r="I162" i="1"/>
  <c r="H84" i="1"/>
  <c r="G84" i="1"/>
  <c r="I84" i="1"/>
  <c r="J84" i="1"/>
  <c r="G86" i="1"/>
  <c r="K84" i="1" l="1"/>
  <c r="H604" i="1"/>
  <c r="G604" i="1"/>
  <c r="H534" i="1"/>
  <c r="G534" i="1"/>
  <c r="H465" i="1"/>
  <c r="J160" i="1" l="1"/>
  <c r="J161" i="1" s="1"/>
  <c r="I160" i="1"/>
  <c r="I161" i="1" s="1"/>
  <c r="H160" i="1"/>
  <c r="G160" i="1"/>
  <c r="H672" i="1"/>
  <c r="G672" i="1"/>
  <c r="H670" i="1"/>
  <c r="H602" i="1"/>
  <c r="G602" i="1"/>
  <c r="K160" i="1" l="1"/>
  <c r="K161" i="1" s="1"/>
  <c r="H532" i="1"/>
  <c r="G532" i="1"/>
  <c r="H463" i="1"/>
  <c r="G463" i="1"/>
  <c r="H397" i="1"/>
  <c r="G397" i="1"/>
  <c r="H326" i="1"/>
  <c r="H327" i="1" s="1"/>
  <c r="H329" i="1" s="1"/>
  <c r="H331" i="1" s="1"/>
  <c r="H333" i="1" s="1"/>
  <c r="H335" i="1" s="1"/>
  <c r="H337" i="1" s="1"/>
  <c r="H339" i="1" s="1"/>
  <c r="H341" i="1" s="1"/>
  <c r="G326" i="1"/>
  <c r="H254" i="1"/>
  <c r="H253" i="1"/>
  <c r="G254" i="1"/>
  <c r="G253" i="1"/>
  <c r="H158" i="1"/>
  <c r="G158" i="1"/>
  <c r="H82" i="1"/>
  <c r="H81" i="1"/>
  <c r="G82" i="1"/>
  <c r="G81" i="1"/>
  <c r="P80" i="1" l="1"/>
  <c r="P83" i="1" s="1"/>
  <c r="P85" i="1" s="1"/>
  <c r="G670" i="1"/>
  <c r="H600" i="1"/>
  <c r="G600" i="1"/>
  <c r="H530" i="1"/>
  <c r="G530" i="1"/>
  <c r="H461" i="1"/>
  <c r="G461" i="1"/>
  <c r="H395" i="1"/>
  <c r="G395" i="1"/>
  <c r="H251" i="1"/>
  <c r="H250" i="1"/>
  <c r="G251" i="1"/>
  <c r="G250" i="1"/>
  <c r="H155" i="1"/>
  <c r="G155" i="1"/>
  <c r="H78" i="1"/>
  <c r="H77" i="1"/>
  <c r="G78" i="1"/>
  <c r="G77" i="1"/>
  <c r="P154" i="1" l="1"/>
  <c r="P157" i="1" s="1"/>
  <c r="P159" i="1" l="1"/>
  <c r="P161" i="1" s="1"/>
  <c r="H151" i="1"/>
  <c r="G151" i="1"/>
  <c r="G153" i="1"/>
  <c r="H72" i="1"/>
  <c r="H71" i="1"/>
  <c r="G72" i="1"/>
  <c r="G71" i="1"/>
  <c r="G75" i="1"/>
  <c r="G74" i="1"/>
  <c r="G393" i="1" l="1"/>
  <c r="G459" i="1"/>
  <c r="G528" i="1"/>
  <c r="G598" i="1"/>
  <c r="G668" i="1"/>
  <c r="H666" i="1"/>
  <c r="G666" i="1"/>
  <c r="H596" i="1"/>
  <c r="G596" i="1"/>
  <c r="H526" i="1"/>
  <c r="G526" i="1"/>
  <c r="H457" i="1"/>
  <c r="G457" i="1"/>
  <c r="H391" i="1"/>
  <c r="G391" i="1"/>
  <c r="G248" i="1" l="1"/>
  <c r="G247" i="1"/>
  <c r="H245" i="1"/>
  <c r="H244" i="1"/>
  <c r="G245" i="1"/>
  <c r="G244" i="1"/>
  <c r="H320" i="1"/>
  <c r="G320" i="1"/>
  <c r="G322" i="1"/>
  <c r="E321" i="1" l="1"/>
  <c r="E323" i="1" s="1"/>
  <c r="E325" i="1" s="1"/>
  <c r="E327" i="1" s="1"/>
  <c r="E329" i="1" s="1"/>
  <c r="E331" i="1" s="1"/>
  <c r="E333" i="1" s="1"/>
  <c r="E335" i="1" s="1"/>
  <c r="E337" i="1" s="1"/>
  <c r="E339" i="1" s="1"/>
  <c r="E341" i="1" s="1"/>
  <c r="E344" i="1" s="1"/>
  <c r="E392" i="1"/>
  <c r="E394" i="1" s="1"/>
  <c r="E396" i="1" s="1"/>
  <c r="E398" i="1" s="1"/>
  <c r="E400" i="1" s="1"/>
  <c r="E402" i="1" s="1"/>
  <c r="E404" i="1" s="1"/>
  <c r="E406" i="1" s="1"/>
  <c r="E408" i="1" s="1"/>
  <c r="E410" i="1" s="1"/>
  <c r="E412" i="1" s="1"/>
  <c r="E414" i="1" s="1"/>
  <c r="H663" i="1" l="1"/>
  <c r="G663" i="1"/>
  <c r="H593" i="1"/>
  <c r="G593" i="1"/>
  <c r="H524" i="1"/>
  <c r="G524" i="1"/>
  <c r="H455" i="1"/>
  <c r="G455" i="1"/>
  <c r="H388" i="1"/>
  <c r="G388" i="1"/>
  <c r="H317" i="1"/>
  <c r="G317" i="1"/>
  <c r="H242" i="1"/>
  <c r="G242" i="1"/>
  <c r="H240" i="1"/>
  <c r="G240" i="1"/>
  <c r="H148" i="1" l="1"/>
  <c r="G148" i="1"/>
  <c r="H68" i="1"/>
  <c r="G68" i="1"/>
  <c r="H67" i="1"/>
  <c r="G67" i="1"/>
  <c r="G70" i="1" l="1"/>
  <c r="G73" i="1" s="1"/>
  <c r="G76" i="1" s="1"/>
  <c r="G80" i="1" s="1"/>
  <c r="G83" i="1" s="1"/>
  <c r="G85" i="1" s="1"/>
  <c r="G88" i="1" s="1"/>
  <c r="G90" i="1" s="1"/>
  <c r="G92" i="1" s="1"/>
  <c r="G94" i="1" s="1"/>
  <c r="G96" i="1" s="1"/>
  <c r="G99" i="1" s="1"/>
  <c r="G102" i="1" s="1"/>
  <c r="H661" i="1"/>
  <c r="G661" i="1"/>
  <c r="H591" i="1"/>
  <c r="G591" i="1"/>
  <c r="H522" i="1"/>
  <c r="G522" i="1"/>
  <c r="H453" i="1"/>
  <c r="G453" i="1"/>
  <c r="H386" i="1"/>
  <c r="G386" i="1"/>
  <c r="H315" i="1"/>
  <c r="G315" i="1"/>
  <c r="H238" i="1"/>
  <c r="G238" i="1"/>
  <c r="H237" i="1"/>
  <c r="G237" i="1"/>
  <c r="P147" i="1" l="1"/>
  <c r="P150" i="1" s="1"/>
  <c r="H145" i="1" l="1"/>
  <c r="G145" i="1"/>
  <c r="H63" i="1"/>
  <c r="H62" i="1"/>
  <c r="G63" i="1"/>
  <c r="G62" i="1"/>
  <c r="H143" i="1"/>
  <c r="G143" i="1"/>
  <c r="H64" i="1"/>
  <c r="G64" i="1"/>
  <c r="H235" i="1" l="1"/>
  <c r="H234" i="1"/>
  <c r="G235" i="1"/>
  <c r="G234" i="1"/>
  <c r="H313" i="1"/>
  <c r="G313" i="1"/>
  <c r="H384" i="1"/>
  <c r="G384" i="1"/>
  <c r="H451" i="1"/>
  <c r="G451" i="1"/>
  <c r="H520" i="1"/>
  <c r="G520" i="1"/>
  <c r="H589" i="1"/>
  <c r="G589" i="1"/>
  <c r="H659" i="1"/>
  <c r="G659" i="1"/>
  <c r="H142" i="1" l="1"/>
  <c r="G142" i="1"/>
  <c r="H60" i="1"/>
  <c r="G60" i="1"/>
  <c r="H59" i="1"/>
  <c r="G59" i="1"/>
  <c r="H57" i="1"/>
  <c r="G57" i="1"/>
  <c r="H56" i="1"/>
  <c r="G56" i="1"/>
  <c r="H140" i="1"/>
  <c r="G140" i="1"/>
  <c r="H657" i="1" l="1"/>
  <c r="G657" i="1"/>
  <c r="H587" i="1"/>
  <c r="G587" i="1"/>
  <c r="H518" i="1"/>
  <c r="G518" i="1"/>
  <c r="H449" i="1"/>
  <c r="G449" i="1"/>
  <c r="H382" i="1"/>
  <c r="G382" i="1"/>
  <c r="H311" i="1"/>
  <c r="G311" i="1"/>
  <c r="H232" i="1"/>
  <c r="H231" i="1"/>
  <c r="G232" i="1"/>
  <c r="G231" i="1"/>
  <c r="H654" i="1" l="1"/>
  <c r="G654" i="1"/>
  <c r="H584" i="1"/>
  <c r="G584" i="1"/>
  <c r="H308" i="1"/>
  <c r="G308" i="1"/>
  <c r="H379" i="1"/>
  <c r="G379" i="1"/>
  <c r="H447" i="1"/>
  <c r="G447" i="1"/>
  <c r="H515" i="1"/>
  <c r="G515" i="1"/>
  <c r="H228" i="1"/>
  <c r="G228" i="1"/>
  <c r="G227" i="1"/>
  <c r="P233" i="1" l="1"/>
  <c r="P236" i="1" s="1"/>
  <c r="P239" i="1" s="1"/>
  <c r="P312" i="1"/>
  <c r="P314" i="1" s="1"/>
  <c r="P316" i="1" s="1"/>
  <c r="P319" i="1" s="1"/>
  <c r="P383" i="1"/>
  <c r="P385" i="1" s="1"/>
  <c r="P387" i="1" s="1"/>
  <c r="P390" i="1" s="1"/>
  <c r="P450" i="1"/>
  <c r="P452" i="1" s="1"/>
  <c r="P454" i="1" s="1"/>
  <c r="P456" i="1" s="1"/>
  <c r="P519" i="1"/>
  <c r="P521" i="1" s="1"/>
  <c r="P523" i="1" s="1"/>
  <c r="P525" i="1" s="1"/>
  <c r="P588" i="1"/>
  <c r="P590" i="1" s="1"/>
  <c r="P592" i="1" s="1"/>
  <c r="P595" i="1" s="1"/>
  <c r="P658" i="1"/>
  <c r="P660" i="1" s="1"/>
  <c r="P662" i="1" s="1"/>
  <c r="P665" i="1" s="1"/>
  <c r="P243" i="1" l="1"/>
  <c r="P246" i="1" s="1"/>
  <c r="H652" i="1"/>
  <c r="G652" i="1"/>
  <c r="H582" i="1"/>
  <c r="G582" i="1"/>
  <c r="H513" i="1"/>
  <c r="G513" i="1"/>
  <c r="H445" i="1"/>
  <c r="G445" i="1"/>
  <c r="H377" i="1"/>
  <c r="G377" i="1"/>
  <c r="H306" i="1"/>
  <c r="G306" i="1"/>
  <c r="H225" i="1"/>
  <c r="H224" i="1"/>
  <c r="G225" i="1"/>
  <c r="G224" i="1"/>
  <c r="H137" i="1" l="1"/>
  <c r="G137" i="1"/>
  <c r="H53" i="1"/>
  <c r="G53" i="1"/>
  <c r="H52" i="1"/>
  <c r="G52" i="1"/>
  <c r="H133" i="1" l="1"/>
  <c r="G133" i="1"/>
  <c r="H135" i="1"/>
  <c r="G135" i="1"/>
  <c r="P51" i="1"/>
  <c r="P55" i="1" s="1"/>
  <c r="P58" i="1" s="1"/>
  <c r="P61" i="1" s="1"/>
  <c r="P66" i="1" s="1"/>
  <c r="P70" i="1" s="1"/>
  <c r="P73" i="1" s="1"/>
  <c r="H50" i="1"/>
  <c r="G50" i="1"/>
  <c r="H221" i="1"/>
  <c r="H650" i="1"/>
  <c r="G650" i="1"/>
  <c r="H304" i="1"/>
  <c r="G304" i="1"/>
  <c r="H375" i="1"/>
  <c r="G375" i="1"/>
  <c r="H443" i="1"/>
  <c r="G443" i="1"/>
  <c r="H511" i="1"/>
  <c r="G511" i="1"/>
  <c r="H222" i="1" l="1"/>
  <c r="G222" i="1"/>
  <c r="H14" i="1" l="1"/>
  <c r="H18" i="1" s="1"/>
  <c r="H22" i="1" s="1"/>
  <c r="H26" i="1" s="1"/>
  <c r="H29" i="1" s="1"/>
  <c r="H32" i="1" s="1"/>
  <c r="H35" i="1" s="1"/>
  <c r="H38" i="1" s="1"/>
  <c r="H42" i="1" s="1"/>
  <c r="G14" i="1"/>
  <c r="H125" i="1" l="1"/>
  <c r="H127" i="1" s="1"/>
  <c r="H130" i="1" s="1"/>
  <c r="G125" i="1"/>
  <c r="G34" i="1" l="1"/>
  <c r="E134" i="1" l="1"/>
  <c r="E136" i="1" s="1"/>
  <c r="E139" i="1" s="1"/>
  <c r="E141" i="1" s="1"/>
  <c r="E144" i="1" s="1"/>
  <c r="E147" i="1" s="1"/>
  <c r="E150" i="1" s="1"/>
  <c r="E152" i="1" s="1"/>
  <c r="E154" i="1" s="1"/>
  <c r="E157" i="1" s="1"/>
  <c r="E159" i="1" s="1"/>
  <c r="E161" i="1" s="1"/>
  <c r="E164" i="1" s="1"/>
  <c r="E166" i="1" s="1"/>
  <c r="E168" i="1" s="1"/>
  <c r="E170" i="1" s="1"/>
  <c r="E172" i="1" s="1"/>
  <c r="E175" i="1" s="1"/>
  <c r="E177" i="1" s="1"/>
  <c r="P223" i="1" l="1"/>
  <c r="P705" i="1" l="1"/>
  <c r="P707" i="1" s="1"/>
  <c r="H185" i="1"/>
  <c r="E185" i="1"/>
  <c r="P132" i="1" l="1"/>
  <c r="P134" i="1" s="1"/>
  <c r="P136" i="1" s="1"/>
  <c r="P139" i="1" s="1"/>
  <c r="P141" i="1" s="1"/>
  <c r="H132" i="1"/>
  <c r="H134" i="1" s="1"/>
  <c r="H136" i="1" s="1"/>
  <c r="H139" i="1" s="1"/>
  <c r="H141" i="1" s="1"/>
  <c r="H144" i="1" s="1"/>
  <c r="H147" i="1" s="1"/>
  <c r="H150" i="1" s="1"/>
  <c r="H152" i="1" s="1"/>
  <c r="H154" i="1" s="1"/>
  <c r="H157" i="1" s="1"/>
  <c r="H159" i="1" s="1"/>
  <c r="H161" i="1" s="1"/>
  <c r="H164" i="1" s="1"/>
  <c r="H166" i="1" s="1"/>
  <c r="H168" i="1" s="1"/>
  <c r="H170" i="1" s="1"/>
  <c r="H172" i="1" s="1"/>
  <c r="H175" i="1" s="1"/>
  <c r="E45" i="1"/>
  <c r="E48" i="1" s="1"/>
  <c r="E51" i="1" s="1"/>
  <c r="E55" i="1" s="1"/>
  <c r="E58" i="1" s="1"/>
  <c r="E61" i="1" s="1"/>
  <c r="E66" i="1" s="1"/>
  <c r="E70" i="1" s="1"/>
  <c r="E73" i="1" s="1"/>
  <c r="E76" i="1" s="1"/>
  <c r="H44" i="1"/>
  <c r="H45" i="1" s="1"/>
  <c r="H48" i="1" s="1"/>
  <c r="H51" i="1" s="1"/>
  <c r="H55" i="1" s="1"/>
  <c r="H58" i="1" s="1"/>
  <c r="H61" i="1" s="1"/>
  <c r="H66" i="1" s="1"/>
  <c r="H70" i="1" s="1"/>
  <c r="H73" i="1" s="1"/>
  <c r="H76" i="1" s="1"/>
  <c r="G44" i="1"/>
  <c r="H80" i="1" l="1"/>
  <c r="E80" i="1"/>
  <c r="G645" i="1"/>
  <c r="G643" i="1"/>
  <c r="G641" i="1"/>
  <c r="G639" i="1"/>
  <c r="G637" i="1"/>
  <c r="G634" i="1"/>
  <c r="G632" i="1"/>
  <c r="G630" i="1"/>
  <c r="G628" i="1"/>
  <c r="G626" i="1"/>
  <c r="H625" i="1"/>
  <c r="H627" i="1" s="1"/>
  <c r="H629" i="1" s="1"/>
  <c r="H631" i="1" s="1"/>
  <c r="H633" i="1" s="1"/>
  <c r="H636" i="1" s="1"/>
  <c r="H638" i="1" s="1"/>
  <c r="H640" i="1" s="1"/>
  <c r="H642" i="1" s="1"/>
  <c r="H644" i="1" s="1"/>
  <c r="H647" i="1" s="1"/>
  <c r="H649" i="1" s="1"/>
  <c r="H651" i="1" s="1"/>
  <c r="H653" i="1" s="1"/>
  <c r="H656" i="1" s="1"/>
  <c r="H658" i="1" s="1"/>
  <c r="H660" i="1" s="1"/>
  <c r="H662" i="1" s="1"/>
  <c r="H665" i="1" s="1"/>
  <c r="H667" i="1" s="1"/>
  <c r="H669" i="1" s="1"/>
  <c r="H671" i="1" s="1"/>
  <c r="H673" i="1" s="1"/>
  <c r="H675" i="1" s="1"/>
  <c r="H677" i="1" s="1"/>
  <c r="H679" i="1" s="1"/>
  <c r="H681" i="1" s="1"/>
  <c r="H683" i="1" s="1"/>
  <c r="H685" i="1" s="1"/>
  <c r="H687" i="1" s="1"/>
  <c r="E625" i="1"/>
  <c r="E627" i="1" s="1"/>
  <c r="E629" i="1" s="1"/>
  <c r="E631" i="1" s="1"/>
  <c r="E633" i="1" s="1"/>
  <c r="E636" i="1" s="1"/>
  <c r="E638" i="1" s="1"/>
  <c r="E640" i="1" s="1"/>
  <c r="E642" i="1" s="1"/>
  <c r="E644" i="1" s="1"/>
  <c r="E647" i="1" s="1"/>
  <c r="E649" i="1" s="1"/>
  <c r="E651" i="1" s="1"/>
  <c r="E653" i="1" s="1"/>
  <c r="E656" i="1" s="1"/>
  <c r="E658" i="1" s="1"/>
  <c r="E660" i="1" s="1"/>
  <c r="E662" i="1" s="1"/>
  <c r="E665" i="1" s="1"/>
  <c r="E667" i="1" s="1"/>
  <c r="E669" i="1" s="1"/>
  <c r="E671" i="1" s="1"/>
  <c r="E673" i="1" s="1"/>
  <c r="E675" i="1" s="1"/>
  <c r="E677" i="1" s="1"/>
  <c r="E679" i="1" s="1"/>
  <c r="E681" i="1" s="1"/>
  <c r="E683" i="1" s="1"/>
  <c r="E685" i="1" s="1"/>
  <c r="E687" i="1" s="1"/>
  <c r="G624" i="1"/>
  <c r="G623" i="1"/>
  <c r="G575" i="1"/>
  <c r="G573" i="1"/>
  <c r="G571" i="1"/>
  <c r="G569" i="1"/>
  <c r="G567" i="1"/>
  <c r="G564" i="1"/>
  <c r="G562" i="1"/>
  <c r="G560" i="1"/>
  <c r="G558" i="1"/>
  <c r="G556" i="1"/>
  <c r="H555" i="1"/>
  <c r="H557" i="1" s="1"/>
  <c r="H559" i="1" s="1"/>
  <c r="H561" i="1" s="1"/>
  <c r="H563" i="1" s="1"/>
  <c r="H566" i="1" s="1"/>
  <c r="H568" i="1" s="1"/>
  <c r="H570" i="1" s="1"/>
  <c r="H572" i="1" s="1"/>
  <c r="H574" i="1" s="1"/>
  <c r="H577" i="1" s="1"/>
  <c r="H579" i="1" s="1"/>
  <c r="H581" i="1" s="1"/>
  <c r="H583" i="1" s="1"/>
  <c r="H586" i="1" s="1"/>
  <c r="H588" i="1" s="1"/>
  <c r="H590" i="1" s="1"/>
  <c r="H592" i="1" s="1"/>
  <c r="H595" i="1" s="1"/>
  <c r="H597" i="1" s="1"/>
  <c r="H599" i="1" s="1"/>
  <c r="H601" i="1" s="1"/>
  <c r="H603" i="1" s="1"/>
  <c r="H605" i="1" s="1"/>
  <c r="H607" i="1" s="1"/>
  <c r="H609" i="1" s="1"/>
  <c r="H611" i="1" s="1"/>
  <c r="H613" i="1" s="1"/>
  <c r="H615" i="1" s="1"/>
  <c r="H617" i="1" s="1"/>
  <c r="H619" i="1" s="1"/>
  <c r="E555" i="1"/>
  <c r="E557" i="1" s="1"/>
  <c r="E559" i="1" s="1"/>
  <c r="E561" i="1" s="1"/>
  <c r="E563" i="1" s="1"/>
  <c r="E566" i="1" s="1"/>
  <c r="E568" i="1" s="1"/>
  <c r="E570" i="1" s="1"/>
  <c r="E572" i="1" s="1"/>
  <c r="E574" i="1" s="1"/>
  <c r="E577" i="1" s="1"/>
  <c r="E579" i="1" s="1"/>
  <c r="E581" i="1" s="1"/>
  <c r="E583" i="1" s="1"/>
  <c r="E586" i="1" s="1"/>
  <c r="E588" i="1" s="1"/>
  <c r="E590" i="1" s="1"/>
  <c r="E592" i="1" s="1"/>
  <c r="E595" i="1" s="1"/>
  <c r="E597" i="1" s="1"/>
  <c r="E599" i="1" s="1"/>
  <c r="E601" i="1" s="1"/>
  <c r="E603" i="1" s="1"/>
  <c r="E605" i="1" s="1"/>
  <c r="E607" i="1" s="1"/>
  <c r="E609" i="1" s="1"/>
  <c r="E611" i="1" s="1"/>
  <c r="E613" i="1" s="1"/>
  <c r="E615" i="1" s="1"/>
  <c r="E617" i="1" s="1"/>
  <c r="E619" i="1" s="1"/>
  <c r="G554" i="1"/>
  <c r="G553" i="1"/>
  <c r="G507" i="1"/>
  <c r="G505" i="1"/>
  <c r="G503" i="1"/>
  <c r="G501" i="1"/>
  <c r="G499" i="1"/>
  <c r="G496" i="1"/>
  <c r="G494" i="1"/>
  <c r="G492" i="1"/>
  <c r="G490" i="1"/>
  <c r="G488" i="1"/>
  <c r="H487" i="1"/>
  <c r="H489" i="1" s="1"/>
  <c r="H491" i="1" s="1"/>
  <c r="H493" i="1" s="1"/>
  <c r="H495" i="1" s="1"/>
  <c r="H498" i="1" s="1"/>
  <c r="H500" i="1" s="1"/>
  <c r="H502" i="1" s="1"/>
  <c r="H504" i="1" s="1"/>
  <c r="H506" i="1" s="1"/>
  <c r="H508" i="1" s="1"/>
  <c r="H510" i="1" s="1"/>
  <c r="H512" i="1" s="1"/>
  <c r="H514" i="1" s="1"/>
  <c r="H517" i="1" s="1"/>
  <c r="H519" i="1" s="1"/>
  <c r="H521" i="1" s="1"/>
  <c r="H523" i="1" s="1"/>
  <c r="H525" i="1" s="1"/>
  <c r="H527" i="1" s="1"/>
  <c r="H529" i="1" s="1"/>
  <c r="H531" i="1" s="1"/>
  <c r="H533" i="1" s="1"/>
  <c r="H535" i="1" s="1"/>
  <c r="H537" i="1" s="1"/>
  <c r="H539" i="1" s="1"/>
  <c r="H541" i="1" s="1"/>
  <c r="H543" i="1" s="1"/>
  <c r="H545" i="1" s="1"/>
  <c r="H547" i="1" s="1"/>
  <c r="H549" i="1" s="1"/>
  <c r="E487" i="1"/>
  <c r="E489" i="1" s="1"/>
  <c r="E491" i="1" s="1"/>
  <c r="E493" i="1" s="1"/>
  <c r="E495" i="1" s="1"/>
  <c r="E498" i="1" s="1"/>
  <c r="E500" i="1" s="1"/>
  <c r="E502" i="1" s="1"/>
  <c r="E504" i="1" s="1"/>
  <c r="E506" i="1" s="1"/>
  <c r="E508" i="1" s="1"/>
  <c r="E510" i="1" s="1"/>
  <c r="E512" i="1" s="1"/>
  <c r="E514" i="1" s="1"/>
  <c r="E517" i="1" s="1"/>
  <c r="E519" i="1" s="1"/>
  <c r="E521" i="1" s="1"/>
  <c r="E523" i="1" s="1"/>
  <c r="E525" i="1" s="1"/>
  <c r="E527" i="1" s="1"/>
  <c r="E529" i="1" s="1"/>
  <c r="E531" i="1" s="1"/>
  <c r="E533" i="1" s="1"/>
  <c r="E535" i="1" s="1"/>
  <c r="E537" i="1" s="1"/>
  <c r="E539" i="1" s="1"/>
  <c r="E541" i="1" s="1"/>
  <c r="E543" i="1" s="1"/>
  <c r="E545" i="1" s="1"/>
  <c r="E547" i="1" s="1"/>
  <c r="E549" i="1" s="1"/>
  <c r="G486" i="1"/>
  <c r="G485" i="1"/>
  <c r="G439" i="1"/>
  <c r="G437" i="1"/>
  <c r="G435" i="1"/>
  <c r="G433" i="1"/>
  <c r="G431" i="1"/>
  <c r="G429" i="1"/>
  <c r="G427" i="1"/>
  <c r="G425" i="1"/>
  <c r="G423" i="1"/>
  <c r="G421" i="1"/>
  <c r="H420" i="1"/>
  <c r="H422" i="1" s="1"/>
  <c r="H424" i="1" s="1"/>
  <c r="H426" i="1" s="1"/>
  <c r="H428" i="1" s="1"/>
  <c r="H430" i="1" s="1"/>
  <c r="H432" i="1" s="1"/>
  <c r="H434" i="1" s="1"/>
  <c r="H436" i="1" s="1"/>
  <c r="H438" i="1" s="1"/>
  <c r="H440" i="1" s="1"/>
  <c r="H442" i="1" s="1"/>
  <c r="H444" i="1" s="1"/>
  <c r="H446" i="1" s="1"/>
  <c r="H448" i="1" s="1"/>
  <c r="H450" i="1" s="1"/>
  <c r="H452" i="1" s="1"/>
  <c r="H454" i="1" s="1"/>
  <c r="H456" i="1" s="1"/>
  <c r="H458" i="1" s="1"/>
  <c r="H460" i="1" s="1"/>
  <c r="H462" i="1" s="1"/>
  <c r="H464" i="1" s="1"/>
  <c r="H466" i="1" s="1"/>
  <c r="H468" i="1" s="1"/>
  <c r="H470" i="1" s="1"/>
  <c r="H472" i="1" s="1"/>
  <c r="H474" i="1" s="1"/>
  <c r="H476" i="1" s="1"/>
  <c r="H478" i="1" s="1"/>
  <c r="E420" i="1"/>
  <c r="E422" i="1" s="1"/>
  <c r="E424" i="1" s="1"/>
  <c r="E426" i="1" s="1"/>
  <c r="E428" i="1" s="1"/>
  <c r="E430" i="1" s="1"/>
  <c r="E432" i="1" s="1"/>
  <c r="E434" i="1" s="1"/>
  <c r="E436" i="1" s="1"/>
  <c r="E438" i="1" s="1"/>
  <c r="E440" i="1" s="1"/>
  <c r="E442" i="1" s="1"/>
  <c r="E444" i="1" s="1"/>
  <c r="E446" i="1" s="1"/>
  <c r="E448" i="1" s="1"/>
  <c r="E450" i="1" s="1"/>
  <c r="E452" i="1" s="1"/>
  <c r="E454" i="1" s="1"/>
  <c r="E456" i="1" s="1"/>
  <c r="E458" i="1" s="1"/>
  <c r="E460" i="1" s="1"/>
  <c r="E462" i="1" s="1"/>
  <c r="E464" i="1" s="1"/>
  <c r="E466" i="1" s="1"/>
  <c r="E468" i="1" s="1"/>
  <c r="E470" i="1" s="1"/>
  <c r="E472" i="1" s="1"/>
  <c r="E474" i="1" s="1"/>
  <c r="E476" i="1" s="1"/>
  <c r="E478" i="1" s="1"/>
  <c r="E481" i="1" s="1"/>
  <c r="G419" i="1"/>
  <c r="G418" i="1"/>
  <c r="G370" i="1"/>
  <c r="G368" i="1"/>
  <c r="G366" i="1"/>
  <c r="G364" i="1"/>
  <c r="G362" i="1"/>
  <c r="G359" i="1"/>
  <c r="G357" i="1"/>
  <c r="G355" i="1"/>
  <c r="G353" i="1"/>
  <c r="G351" i="1"/>
  <c r="H350" i="1"/>
  <c r="H352" i="1" s="1"/>
  <c r="H354" i="1" s="1"/>
  <c r="H356" i="1" s="1"/>
  <c r="H358" i="1" s="1"/>
  <c r="H361" i="1" s="1"/>
  <c r="H363" i="1" s="1"/>
  <c r="H365" i="1" s="1"/>
  <c r="H367" i="1" s="1"/>
  <c r="H369" i="1" s="1"/>
  <c r="E350" i="1"/>
  <c r="E352" i="1" s="1"/>
  <c r="E354" i="1" s="1"/>
  <c r="E356" i="1" s="1"/>
  <c r="E358" i="1" s="1"/>
  <c r="E361" i="1" s="1"/>
  <c r="E363" i="1" s="1"/>
  <c r="E365" i="1" s="1"/>
  <c r="E367" i="1" s="1"/>
  <c r="E369" i="1" s="1"/>
  <c r="E372" i="1" s="1"/>
  <c r="E374" i="1" s="1"/>
  <c r="E376" i="1" s="1"/>
  <c r="E378" i="1" s="1"/>
  <c r="E381" i="1" s="1"/>
  <c r="E383" i="1" s="1"/>
  <c r="E385" i="1" s="1"/>
  <c r="E387" i="1" s="1"/>
  <c r="G349" i="1"/>
  <c r="G348" i="1"/>
  <c r="E83" i="1" l="1"/>
  <c r="E85" i="1" s="1"/>
  <c r="E88" i="1" s="1"/>
  <c r="E90" i="1" s="1"/>
  <c r="E92" i="1" s="1"/>
  <c r="E94" i="1" s="1"/>
  <c r="E96" i="1" s="1"/>
  <c r="E99" i="1" s="1"/>
  <c r="E102" i="1" s="1"/>
  <c r="H83" i="1"/>
  <c r="H85" i="1" s="1"/>
  <c r="H88" i="1" s="1"/>
  <c r="H90" i="1" s="1"/>
  <c r="H92" i="1" s="1"/>
  <c r="H94" i="1" s="1"/>
  <c r="H96" i="1" s="1"/>
  <c r="H99" i="1" s="1"/>
  <c r="H102" i="1" s="1"/>
  <c r="G350" i="1"/>
  <c r="G352" i="1" s="1"/>
  <c r="G354" i="1" s="1"/>
  <c r="G356" i="1" s="1"/>
  <c r="G358" i="1" s="1"/>
  <c r="G361" i="1" s="1"/>
  <c r="G363" i="1" s="1"/>
  <c r="G365" i="1" s="1"/>
  <c r="G367" i="1" s="1"/>
  <c r="G369" i="1" s="1"/>
  <c r="G372" i="1" s="1"/>
  <c r="G374" i="1" s="1"/>
  <c r="G376" i="1" s="1"/>
  <c r="G378" i="1" s="1"/>
  <c r="G381" i="1" s="1"/>
  <c r="G383" i="1" s="1"/>
  <c r="G385" i="1" s="1"/>
  <c r="G387" i="1" s="1"/>
  <c r="G390" i="1" s="1"/>
  <c r="G392" i="1" s="1"/>
  <c r="G394" i="1" s="1"/>
  <c r="G396" i="1" s="1"/>
  <c r="G398" i="1" s="1"/>
  <c r="G400" i="1" s="1"/>
  <c r="G402" i="1" s="1"/>
  <c r="G404" i="1" s="1"/>
  <c r="G406" i="1" s="1"/>
  <c r="G408" i="1" s="1"/>
  <c r="G410" i="1" s="1"/>
  <c r="G412" i="1" s="1"/>
  <c r="G414" i="1" s="1"/>
  <c r="G420" i="1"/>
  <c r="G422" i="1" s="1"/>
  <c r="G424" i="1" s="1"/>
  <c r="G426" i="1" s="1"/>
  <c r="G428" i="1" s="1"/>
  <c r="G430" i="1" s="1"/>
  <c r="G432" i="1" s="1"/>
  <c r="G434" i="1" s="1"/>
  <c r="G436" i="1" s="1"/>
  <c r="G438" i="1" s="1"/>
  <c r="G440" i="1" s="1"/>
  <c r="G442" i="1" s="1"/>
  <c r="G444" i="1" s="1"/>
  <c r="G446" i="1" s="1"/>
  <c r="G448" i="1" s="1"/>
  <c r="G450" i="1" s="1"/>
  <c r="G452" i="1" s="1"/>
  <c r="G454" i="1" s="1"/>
  <c r="G456" i="1" s="1"/>
  <c r="G458" i="1" s="1"/>
  <c r="G460" i="1" s="1"/>
  <c r="G462" i="1" s="1"/>
  <c r="G464" i="1" s="1"/>
  <c r="G466" i="1" s="1"/>
  <c r="G468" i="1" s="1"/>
  <c r="G470" i="1" s="1"/>
  <c r="G472" i="1" s="1"/>
  <c r="G474" i="1" s="1"/>
  <c r="G476" i="1" s="1"/>
  <c r="G478" i="1" s="1"/>
  <c r="G487" i="1"/>
  <c r="G489" i="1" s="1"/>
  <c r="G491" i="1" s="1"/>
  <c r="G493" i="1" s="1"/>
  <c r="G495" i="1" s="1"/>
  <c r="G498" i="1" s="1"/>
  <c r="G500" i="1" s="1"/>
  <c r="G502" i="1" s="1"/>
  <c r="G504" i="1" s="1"/>
  <c r="G506" i="1" s="1"/>
  <c r="G508" i="1" s="1"/>
  <c r="G510" i="1" s="1"/>
  <c r="G512" i="1" s="1"/>
  <c r="G514" i="1" s="1"/>
  <c r="G517" i="1" s="1"/>
  <c r="G519" i="1" s="1"/>
  <c r="G521" i="1" s="1"/>
  <c r="G523" i="1" s="1"/>
  <c r="G525" i="1" s="1"/>
  <c r="G527" i="1" s="1"/>
  <c r="G529" i="1" s="1"/>
  <c r="G531" i="1" s="1"/>
  <c r="G533" i="1" s="1"/>
  <c r="G535" i="1" s="1"/>
  <c r="G537" i="1" s="1"/>
  <c r="G539" i="1" s="1"/>
  <c r="G541" i="1" s="1"/>
  <c r="G543" i="1" s="1"/>
  <c r="G545" i="1" s="1"/>
  <c r="G547" i="1" s="1"/>
  <c r="G549" i="1" s="1"/>
  <c r="G555" i="1"/>
  <c r="G557" i="1" s="1"/>
  <c r="G559" i="1" s="1"/>
  <c r="G561" i="1" s="1"/>
  <c r="G563" i="1" s="1"/>
  <c r="G566" i="1" s="1"/>
  <c r="G568" i="1" s="1"/>
  <c r="G570" i="1" s="1"/>
  <c r="G572" i="1" s="1"/>
  <c r="G574" i="1" s="1"/>
  <c r="G577" i="1" s="1"/>
  <c r="G579" i="1" s="1"/>
  <c r="G581" i="1" s="1"/>
  <c r="G583" i="1" s="1"/>
  <c r="G586" i="1" s="1"/>
  <c r="G588" i="1" s="1"/>
  <c r="G590" i="1" s="1"/>
  <c r="G592" i="1" s="1"/>
  <c r="G595" i="1" s="1"/>
  <c r="G597" i="1" s="1"/>
  <c r="G599" i="1" s="1"/>
  <c r="G601" i="1" s="1"/>
  <c r="G603" i="1" s="1"/>
  <c r="G605" i="1" s="1"/>
  <c r="G607" i="1" s="1"/>
  <c r="G609" i="1" s="1"/>
  <c r="G611" i="1" s="1"/>
  <c r="G613" i="1" s="1"/>
  <c r="G615" i="1" s="1"/>
  <c r="G617" i="1" s="1"/>
  <c r="G619" i="1" s="1"/>
  <c r="G625" i="1"/>
  <c r="G627" i="1" s="1"/>
  <c r="G629" i="1" s="1"/>
  <c r="G631" i="1" s="1"/>
  <c r="G633" i="1" s="1"/>
  <c r="G636" i="1" s="1"/>
  <c r="G638" i="1" s="1"/>
  <c r="G640" i="1" s="1"/>
  <c r="G642" i="1" s="1"/>
  <c r="G644" i="1" s="1"/>
  <c r="G647" i="1" s="1"/>
  <c r="G649" i="1" s="1"/>
  <c r="G651" i="1" s="1"/>
  <c r="G653" i="1" s="1"/>
  <c r="G656" i="1" s="1"/>
  <c r="G658" i="1" s="1"/>
  <c r="G660" i="1" s="1"/>
  <c r="G662" i="1" s="1"/>
  <c r="G665" i="1" s="1"/>
  <c r="G667" i="1" s="1"/>
  <c r="G669" i="1" s="1"/>
  <c r="G671" i="1" s="1"/>
  <c r="G673" i="1" s="1"/>
  <c r="G675" i="1" s="1"/>
  <c r="G677" i="1" s="1"/>
  <c r="G679" i="1" s="1"/>
  <c r="G681" i="1" s="1"/>
  <c r="G683" i="1" s="1"/>
  <c r="G685" i="1" s="1"/>
  <c r="G687" i="1" s="1"/>
  <c r="H372" i="1"/>
  <c r="H374" i="1" s="1"/>
  <c r="H376" i="1" s="1"/>
  <c r="H378" i="1" s="1"/>
  <c r="H381" i="1" s="1"/>
  <c r="H383" i="1" s="1"/>
  <c r="H385" i="1" s="1"/>
  <c r="H387" i="1" s="1"/>
  <c r="H390" i="1" s="1"/>
  <c r="H392" i="1" s="1"/>
  <c r="H394" i="1" s="1"/>
  <c r="H396" i="1" s="1"/>
  <c r="H398" i="1" s="1"/>
  <c r="H400" i="1" s="1"/>
  <c r="H402" i="1" s="1"/>
  <c r="H404" i="1" s="1"/>
  <c r="H406" i="1" s="1"/>
  <c r="H408" i="1" s="1"/>
  <c r="H410" i="1" s="1"/>
  <c r="H412" i="1" s="1"/>
  <c r="H414" i="1" s="1"/>
  <c r="G299" i="1"/>
  <c r="G297" i="1"/>
  <c r="G295" i="1" l="1"/>
  <c r="G293" i="1"/>
  <c r="G291" i="1"/>
  <c r="G288" i="1"/>
  <c r="G286" i="1"/>
  <c r="G284" i="1"/>
  <c r="G282" i="1"/>
  <c r="H279" i="1"/>
  <c r="H281" i="1" s="1"/>
  <c r="H283" i="1" s="1"/>
  <c r="H285" i="1" s="1"/>
  <c r="H287" i="1" s="1"/>
  <c r="H290" i="1" s="1"/>
  <c r="H292" i="1" s="1"/>
  <c r="H294" i="1" s="1"/>
  <c r="H296" i="1" s="1"/>
  <c r="H298" i="1" s="1"/>
  <c r="H301" i="1" s="1"/>
  <c r="H303" i="1" s="1"/>
  <c r="H305" i="1" s="1"/>
  <c r="H307" i="1" s="1"/>
  <c r="H310" i="1" s="1"/>
  <c r="H312" i="1" s="1"/>
  <c r="H314" i="1" s="1"/>
  <c r="H316" i="1" s="1"/>
  <c r="H319" i="1" s="1"/>
  <c r="H321" i="1" s="1"/>
  <c r="H323" i="1" s="1"/>
  <c r="E279" i="1"/>
  <c r="E281" i="1" s="1"/>
  <c r="E283" i="1" s="1"/>
  <c r="E285" i="1" s="1"/>
  <c r="E287" i="1" s="1"/>
  <c r="E290" i="1" s="1"/>
  <c r="E292" i="1" s="1"/>
  <c r="E294" i="1" s="1"/>
  <c r="E296" i="1" s="1"/>
  <c r="E298" i="1" s="1"/>
  <c r="E301" i="1" s="1"/>
  <c r="E303" i="1" s="1"/>
  <c r="E305" i="1" s="1"/>
  <c r="E307" i="1" s="1"/>
  <c r="E310" i="1" s="1"/>
  <c r="E312" i="1" s="1"/>
  <c r="E314" i="1" s="1"/>
  <c r="E316" i="1" s="1"/>
  <c r="G278" i="1"/>
  <c r="G277" i="1"/>
  <c r="G215" i="1"/>
  <c r="H215" i="1" s="1"/>
  <c r="G216" i="1"/>
  <c r="G214" i="1"/>
  <c r="G212" i="1"/>
  <c r="G211" i="1"/>
  <c r="G209" i="1"/>
  <c r="G208" i="1"/>
  <c r="G206" i="1"/>
  <c r="G205" i="1"/>
  <c r="G203" i="1"/>
  <c r="G202" i="1"/>
  <c r="G200" i="1"/>
  <c r="G198" i="1"/>
  <c r="G196" i="1"/>
  <c r="G195" i="1"/>
  <c r="G193" i="1"/>
  <c r="G192" i="1"/>
  <c r="G190" i="1"/>
  <c r="G189" i="1"/>
  <c r="E188" i="1"/>
  <c r="E191" i="1" s="1"/>
  <c r="E194" i="1" s="1"/>
  <c r="E197" i="1" s="1"/>
  <c r="E201" i="1" s="1"/>
  <c r="E204" i="1" s="1"/>
  <c r="E207" i="1" s="1"/>
  <c r="E210" i="1" s="1"/>
  <c r="E213" i="1" s="1"/>
  <c r="E217" i="1" s="1"/>
  <c r="E220" i="1" s="1"/>
  <c r="E223" i="1" s="1"/>
  <c r="E226" i="1" s="1"/>
  <c r="E230" i="1" s="1"/>
  <c r="E233" i="1" s="1"/>
  <c r="E236" i="1" s="1"/>
  <c r="G187" i="1"/>
  <c r="G186" i="1"/>
  <c r="H188" i="1"/>
  <c r="H191" i="1" s="1"/>
  <c r="H194" i="1" s="1"/>
  <c r="H197" i="1" s="1"/>
  <c r="H201" i="1" s="1"/>
  <c r="H204" i="1" s="1"/>
  <c r="H207" i="1" s="1"/>
  <c r="H210" i="1" s="1"/>
  <c r="H213" i="1" s="1"/>
  <c r="G182" i="1"/>
  <c r="G181" i="1"/>
  <c r="G128" i="1"/>
  <c r="G126" i="1"/>
  <c r="G127" i="1" s="1"/>
  <c r="G122" i="1"/>
  <c r="G120" i="1"/>
  <c r="G117" i="1"/>
  <c r="G115" i="1"/>
  <c r="G113" i="1"/>
  <c r="G40" i="1"/>
  <c r="G41" i="1"/>
  <c r="G39" i="1"/>
  <c r="G37" i="1"/>
  <c r="G36" i="1"/>
  <c r="G31" i="1"/>
  <c r="G30" i="1"/>
  <c r="G28" i="1"/>
  <c r="G27" i="1"/>
  <c r="G24" i="1"/>
  <c r="G23" i="1"/>
  <c r="G20" i="1"/>
  <c r="G19" i="1"/>
  <c r="G16" i="1"/>
  <c r="G15" i="1"/>
  <c r="E239" i="1" l="1"/>
  <c r="E243" i="1" s="1"/>
  <c r="E246" i="1" s="1"/>
  <c r="E249" i="1" s="1"/>
  <c r="G279" i="1"/>
  <c r="G281" i="1" s="1"/>
  <c r="G283" i="1" s="1"/>
  <c r="G285" i="1" s="1"/>
  <c r="G287" i="1" s="1"/>
  <c r="G290" i="1" s="1"/>
  <c r="G292" i="1" s="1"/>
  <c r="G294" i="1" s="1"/>
  <c r="G296" i="1" s="1"/>
  <c r="G298" i="1" s="1"/>
  <c r="G301" i="1" s="1"/>
  <c r="G303" i="1" s="1"/>
  <c r="G305" i="1" s="1"/>
  <c r="G307" i="1" s="1"/>
  <c r="G310" i="1" s="1"/>
  <c r="G312" i="1" s="1"/>
  <c r="G314" i="1" s="1"/>
  <c r="G316" i="1" s="1"/>
  <c r="G319" i="1" s="1"/>
  <c r="G321" i="1" s="1"/>
  <c r="G323" i="1" s="1"/>
  <c r="G325" i="1" s="1"/>
  <c r="G327" i="1" s="1"/>
  <c r="G329" i="1" s="1"/>
  <c r="G331" i="1" s="1"/>
  <c r="G333" i="1" s="1"/>
  <c r="G335" i="1" s="1"/>
  <c r="G337" i="1" s="1"/>
  <c r="G339" i="1" s="1"/>
  <c r="G341" i="1" s="1"/>
  <c r="G18" i="1"/>
  <c r="G22" i="1" s="1"/>
  <c r="G26" i="1" s="1"/>
  <c r="G29" i="1" s="1"/>
  <c r="G32" i="1" s="1"/>
  <c r="G35" i="1" s="1"/>
  <c r="G38" i="1" s="1"/>
  <c r="G42" i="1" s="1"/>
  <c r="G45" i="1" s="1"/>
  <c r="G48" i="1" s="1"/>
  <c r="G51" i="1" s="1"/>
  <c r="G55" i="1" s="1"/>
  <c r="G58" i="1" s="1"/>
  <c r="G61" i="1" s="1"/>
  <c r="G130" i="1"/>
  <c r="G132" i="1" s="1"/>
  <c r="G134" i="1" s="1"/>
  <c r="G136" i="1" s="1"/>
  <c r="G139" i="1" s="1"/>
  <c r="G141" i="1" s="1"/>
  <c r="G144" i="1" s="1"/>
  <c r="G147" i="1" s="1"/>
  <c r="G150" i="1" s="1"/>
  <c r="G152" i="1" s="1"/>
  <c r="G154" i="1" s="1"/>
  <c r="G185" i="1"/>
  <c r="G188" i="1" s="1"/>
  <c r="G191" i="1" s="1"/>
  <c r="G194" i="1" s="1"/>
  <c r="G197" i="1" s="1"/>
  <c r="G201" i="1" s="1"/>
  <c r="G204" i="1" s="1"/>
  <c r="G207" i="1" s="1"/>
  <c r="G210" i="1" s="1"/>
  <c r="G213" i="1" s="1"/>
  <c r="G217" i="1" s="1"/>
  <c r="G220" i="1" s="1"/>
  <c r="G223" i="1" s="1"/>
  <c r="H217" i="1"/>
  <c r="H220" i="1" s="1"/>
  <c r="P574" i="1"/>
  <c r="P506" i="1"/>
  <c r="P438" i="1"/>
  <c r="P298" i="1"/>
  <c r="P213" i="1"/>
  <c r="E252" i="1" l="1"/>
  <c r="G157" i="1"/>
  <c r="G226" i="1"/>
  <c r="G230" i="1" s="1"/>
  <c r="G233" i="1" s="1"/>
  <c r="G236" i="1" s="1"/>
  <c r="H223" i="1"/>
  <c r="P125" i="1"/>
  <c r="E255" i="1" l="1"/>
  <c r="E258" i="1" s="1"/>
  <c r="E260" i="1" s="1"/>
  <c r="E262" i="1" s="1"/>
  <c r="E264" i="1" s="1"/>
  <c r="E266" i="1" s="1"/>
  <c r="E268" i="1" s="1"/>
  <c r="E270" i="1" s="1"/>
  <c r="E273" i="1" s="1"/>
  <c r="G159" i="1"/>
  <c r="G161" i="1" s="1"/>
  <c r="G164" i="1" s="1"/>
  <c r="G166" i="1" s="1"/>
  <c r="G168" i="1" s="1"/>
  <c r="G170" i="1" s="1"/>
  <c r="G172" i="1" s="1"/>
  <c r="G239" i="1"/>
  <c r="G243" i="1" s="1"/>
  <c r="G246" i="1" s="1"/>
  <c r="H226" i="1"/>
  <c r="H230" i="1" s="1"/>
  <c r="H233" i="1" s="1"/>
  <c r="H236" i="1" s="1"/>
  <c r="G249" i="1" l="1"/>
  <c r="H239" i="1"/>
  <c r="H243" i="1" s="1"/>
  <c r="H246" i="1" s="1"/>
  <c r="H249" i="1" s="1"/>
  <c r="H695" i="1"/>
  <c r="H697" i="1" s="1"/>
  <c r="H699" i="1" s="1"/>
  <c r="G695" i="1"/>
  <c r="G697" i="1" s="1"/>
  <c r="G699" i="1" s="1"/>
  <c r="E695" i="1"/>
  <c r="E697" i="1" s="1"/>
  <c r="E699" i="1" s="1"/>
  <c r="H252" i="1" l="1"/>
  <c r="G252" i="1"/>
  <c r="G701" i="1"/>
  <c r="G703" i="1" s="1"/>
  <c r="G705" i="1" s="1"/>
  <c r="E701" i="1"/>
  <c r="E703" i="1" s="1"/>
  <c r="E705" i="1" s="1"/>
  <c r="H701" i="1"/>
  <c r="H703" i="1" s="1"/>
  <c r="H705" i="1" s="1"/>
  <c r="G255" i="1" l="1"/>
  <c r="G258" i="1" s="1"/>
  <c r="G260" i="1" s="1"/>
  <c r="G262" i="1" s="1"/>
  <c r="G264" i="1" s="1"/>
  <c r="G266" i="1" s="1"/>
  <c r="G268" i="1" s="1"/>
  <c r="G270" i="1" s="1"/>
  <c r="G273" i="1" s="1"/>
  <c r="H255" i="1"/>
  <c r="H258" i="1" s="1"/>
  <c r="H260" i="1" s="1"/>
  <c r="H262" i="1" s="1"/>
  <c r="H264" i="1" s="1"/>
  <c r="H266" i="1" s="1"/>
  <c r="H268" i="1" s="1"/>
  <c r="H270" i="1" s="1"/>
  <c r="H273" i="1" s="1"/>
</calcChain>
</file>

<file path=xl/sharedStrings.xml><?xml version="1.0" encoding="utf-8"?>
<sst xmlns="http://schemas.openxmlformats.org/spreadsheetml/2006/main" count="1498" uniqueCount="246">
  <si>
    <t>РИОСВ</t>
  </si>
  <si>
    <t>ВРАЦА</t>
  </si>
  <si>
    <t xml:space="preserve"> № по ред</t>
  </si>
  <si>
    <t>Вид на депото (Регионално или Общинско) и наименование</t>
  </si>
  <si>
    <t>Община</t>
  </si>
  <si>
    <t xml:space="preserve">Количество депонирани отпадъци </t>
  </si>
  <si>
    <t>месец</t>
  </si>
  <si>
    <t>количество (т)</t>
  </si>
  <si>
    <t>Размер на отчисленията по чл. 60 (лв./тон)</t>
  </si>
  <si>
    <t>Постъпили в сметката на РИОСВ отчисления</t>
  </si>
  <si>
    <t xml:space="preserve"> по чл. 60 от ЗУО (лв.)</t>
  </si>
  <si>
    <t>по чл. 64 от  ЗУО (лв.)</t>
  </si>
  <si>
    <t>Следва да постъпят в сметката на РИОСВ отчисления по чл. 60 от ЗУО (лв.)</t>
  </si>
  <si>
    <t>Следва да постъпят в сметката на РИОСВ отчисления по чл. 64 от ЗУО (лв.)</t>
  </si>
  <si>
    <t>Обща сума на отчисленията, които следва да постъпят</t>
  </si>
  <si>
    <t>Остава да постъпят по чл.  60 (лв.)</t>
  </si>
  <si>
    <t>Остава да постъпят по чл.  64 (лв.)</t>
  </si>
  <si>
    <t>Дължима лихва за отчисленията по чл. 20 от Наредба № 7</t>
  </si>
  <si>
    <t>Натрупана лихва за отчисленията по чл. 64 от ЗУО</t>
  </si>
  <si>
    <t>Изразходени средства (лв.)</t>
  </si>
  <si>
    <t>Депонирани количества неопасни отпадъци, за които отчисленията по чл. 20 от Наредба № 7 се увеличават с 15 на сто</t>
  </si>
  <si>
    <t>Дължими отчисления по чл. 20, ал. 3 от Наредбата № 7 (лв.)</t>
  </si>
  <si>
    <t>РДНО - Враца, Мездра</t>
  </si>
  <si>
    <t>Общо за периода от 2011 до2013 г.</t>
  </si>
  <si>
    <t>Общо за периода от 2011 до 2014 г.</t>
  </si>
  <si>
    <t>Общо за периода от 2011 до 2012 г.</t>
  </si>
  <si>
    <t>Общо за периода от 2011 до 2015 г.</t>
  </si>
  <si>
    <t>Фирми Враца</t>
  </si>
  <si>
    <t>Писмо Вх. № И-11/26.01.2016 г. на общ. Враца прехвърлени средства от чл. 60 в чл. 64</t>
  </si>
  <si>
    <t>I трим. 2016 г.</t>
  </si>
  <si>
    <t>Общо за периода от 2011 г. до I трим. 2016 г.</t>
  </si>
  <si>
    <t>II трим. 2016 г.</t>
  </si>
  <si>
    <t>Общо за периода от 2011 г. до II трим. 2016 г.</t>
  </si>
  <si>
    <t>III трим. 2016 г.</t>
  </si>
  <si>
    <t>IV трим. 2016 г.</t>
  </si>
  <si>
    <t>Общо за периода от 2011 г. до III трим. 2016 г.</t>
  </si>
  <si>
    <t>Общо за периода от 2011 г. до IV трим. 2016 г.</t>
  </si>
  <si>
    <t>Да изчистим България-Враца</t>
  </si>
  <si>
    <t>Общо за периода от 2011 до 2013 г.</t>
  </si>
  <si>
    <t>Да изчистим България-Мездра</t>
  </si>
  <si>
    <t>РДНО -Оряхово</t>
  </si>
  <si>
    <t>Община Оряхово</t>
  </si>
  <si>
    <t>Община Мизия</t>
  </si>
  <si>
    <t>Да изчистим България-Оряхово</t>
  </si>
  <si>
    <t>Община Козлодуй</t>
  </si>
  <si>
    <t>Да изчистим България-Мизия</t>
  </si>
  <si>
    <t>Да изчистим България-Козлодуй</t>
  </si>
  <si>
    <t>Община Бяла Слатина</t>
  </si>
  <si>
    <t>Община Кнежа</t>
  </si>
  <si>
    <t>Община Борован</t>
  </si>
  <si>
    <t>Община Хайредин</t>
  </si>
  <si>
    <t>Общинско депо - Роман</t>
  </si>
  <si>
    <t>Община Роман</t>
  </si>
  <si>
    <t>Да изчистим България-Хайредин</t>
  </si>
  <si>
    <t>Да изчистим България-Кнежа</t>
  </si>
  <si>
    <t xml:space="preserve">168 103,94 лв.  
</t>
  </si>
  <si>
    <t>Забележки</t>
  </si>
  <si>
    <t>I трим. 2017 г.</t>
  </si>
  <si>
    <t>Общо за периода от 2011 г. до I трим. 2017 г.</t>
  </si>
  <si>
    <t>Oбщина Мездра</t>
  </si>
  <si>
    <t>Oбщина Враца</t>
  </si>
  <si>
    <t>II трим. 2017 г.</t>
  </si>
  <si>
    <t xml:space="preserve">Забележка: С писмо с Вх. № В-2755 от 06.10.2016 г. oт. 07.07.2016 г. БО на Община Роман се депонират на РДНО - Луковит. Отчисленията по чл. 60 и 64 от ЗУО се заплащат в РИОСВ - Плевен.                  
</t>
  </si>
  <si>
    <t>Общо за периода от 2011 г. до II трим. 2017 г.</t>
  </si>
  <si>
    <t>III трим. 2017 г.</t>
  </si>
  <si>
    <t>Общо за периода от 2011 г. до III трим. 2017 г.</t>
  </si>
  <si>
    <t>Фирми Оряхово</t>
  </si>
  <si>
    <t>Общо за периода от 2011 г. до III трим. 2017г.</t>
  </si>
  <si>
    <t>Да изчистим Бълагрия-Борован</t>
  </si>
  <si>
    <t>Общо за периода от 2011 г. до IV трим. 2017 г.</t>
  </si>
  <si>
    <t>IV трим. 2017 г.</t>
  </si>
  <si>
    <t>I трим. 2018 г.</t>
  </si>
  <si>
    <t>Общо за периода от 2011 г. до I трим. 2018 г.</t>
  </si>
  <si>
    <t>II трим. 2018 г.</t>
  </si>
  <si>
    <t>Общо за периода от 2011 г. до II трим. 2018 г.</t>
  </si>
  <si>
    <t>писмо с вх. № В-1295/04.09.2017 г. върнати 97 800,00 от освободените през 2-ро трим.</t>
  </si>
  <si>
    <t>III трим. 2018 г.</t>
  </si>
  <si>
    <t>Общо за периода от 2011 г. до III трим. 2018 г.</t>
  </si>
  <si>
    <t>IV трим. 2018 г.</t>
  </si>
  <si>
    <t>Общо за периода от 2011 г. до IV трим. 2018 г.</t>
  </si>
  <si>
    <t xml:space="preserve"> IV трим. 2018 г.</t>
  </si>
  <si>
    <t>Общо за периода от 2011 г. до I трим. 2019 г.</t>
  </si>
  <si>
    <t>I трим. 2019 г.</t>
  </si>
  <si>
    <t xml:space="preserve"> I трим. 2019 г.</t>
  </si>
  <si>
    <t>II трим. 2019 г.</t>
  </si>
  <si>
    <t>II  трим. 2019 г.</t>
  </si>
  <si>
    <t>Общо за периода от 2011 г. до II трим. 2019 г.</t>
  </si>
  <si>
    <t xml:space="preserve">Корекция за м.март </t>
  </si>
  <si>
    <t>Възстановени от ОПОС 2014-2020</t>
  </si>
  <si>
    <t>III трим. 2019 г.</t>
  </si>
  <si>
    <t>Общо за периода от 2011 г. до III трим. 2019 г.</t>
  </si>
  <si>
    <t> 8,380</t>
  </si>
  <si>
    <t> 3,580 </t>
  </si>
  <si>
    <t>IV трим. 2019 г.</t>
  </si>
  <si>
    <t>Общо за периода от 2011 г. до IV трим. 2019 г.</t>
  </si>
  <si>
    <t xml:space="preserve"> IV трим. 2019 г.</t>
  </si>
  <si>
    <t>I трим. 2020 г.</t>
  </si>
  <si>
    <t>Общо за периода от 2011 г. до I трим. 2020 г.</t>
  </si>
  <si>
    <t xml:space="preserve"> I трим. 2020 г.</t>
  </si>
  <si>
    <t>* oт 01.01-22.03.20 г. са депонирани 132,360 т. отпадък с р-р на отчисленията по чл. 64 от ЗУО - 95,00 лв.; от 23.03 до 31.03.20 г. са депонирани 20,560 т. отпадък с р-р на отчисленията по чл. 64 от ЗУО - 69,00 лв.</t>
  </si>
  <si>
    <t>* oт 01.01-22.03.20 г. са депонирани 173,880 т. отпадък с р-р на отчисленията по чл. 64 от ЗУО - 95,00 лв.; от 23.03 до 31.03.20 г. са депонирани 24,940 т. отпадък с р-р на отчисленията по чл. 64 от ЗУО - 69,00 лв.</t>
  </si>
  <si>
    <t>* oт 01.01-22.03.20 г. са депонирани 695,800 т. отпадък с р-р на отчисленията по чл. 64 от ЗУО - 95,00 лв.; от 23.03 до 31.03.20 г. са депонирани 100,240 т. отпадък с р-р на отчисленията по чл. 64 от ЗУО - 69,00 лв.</t>
  </si>
  <si>
    <t>* oт 01.01-22.03.20 г. са депонирани 888,280 т. отпадък с р-р на отчисленията по чл. 64 от ЗУО - 95,00 лв.; от 23.03 до 31.03.20 г. са депонирани 124,360 т. отпадък с р-р на отчисленията по чл. 64 от ЗУО - 69,00 лв.</t>
  </si>
  <si>
    <t>* oт 01.01-22.03.20 г. са депонирани 1381,060 т. отпадък с р-р на отчисленията по чл. 64 от ЗУО - 95,00 лв.; от 23.03 до 31.03.20 г. са депонирани 208,260 т. отпадък с р-р на отчисленията по чл. 64 от ЗУО - 69,00 лв.</t>
  </si>
  <si>
    <t>* oт 01.01-22.03.20 г. са депонирани 410,380 т. отпадък с р-р на отчисленията по чл. 64 от ЗУО - 95,00 лв.; от 23.03 до 31.03.20 г. са депонирани 62,320 т. отпадък с р-р на отчисленията по чл. 64 от ЗУО - 69,00 лв.</t>
  </si>
  <si>
    <t>* oт 01.01-22.03.20 г. са депонирани 308,700 т. отпадък с р-р на отчисленията по чл. 64 от ЗУО - 95,00 лв.; от 23.03 до 31.03.20 г. са депонирани 47,100 т. отпадък с р-р на отчисленията по чл. 64 от ЗУО - 69,00 лв.</t>
  </si>
  <si>
    <t>* oт 01.01-22.03.20 г. са депонирани 726,045 т. отпадък с р-р на отчисленията по чл. 64 от ЗУО - 95,00 лв.; от 23.03 до 31.03.20 г. са депонирани 82,811 т. отпадък с р-р на отчисленията по чл. 64 от ЗУО - 69,00 лв.</t>
  </si>
  <si>
    <t>* oт 01.01-22.03.20 г. са депонирани 2732,375 т. отпадък с р-р на отчисленията по чл. 64 от ЗУО - 95,00 лв.; от 23.03 до 31.03.20 г. са депонирани 328,129 т. отпадък с р-р на отчисленията по чл. 64 от ЗУО - 69,00 лв.</t>
  </si>
  <si>
    <t>* oт 01.01-22.03.20 г. са депонирани 218,840 т. отпадък с р-р на отчисленията по чл. 64 от ЗУО - 95,00 лв.; от 23.03 до 31.03.20 г. са депонирани 7,780 т. отпадък с р-р на отчисленията по чл. 64 от ЗУО - 69,00 лв.</t>
  </si>
  <si>
    <t>12 489,74  лв.                   по чл. 60</t>
  </si>
  <si>
    <t>379 972,24 лв. по чл. 64;12 489,74 лв по чл. 60</t>
  </si>
  <si>
    <t>212 952,16 лв. по чл. 64; 8458,03 лв. по чл. 60</t>
  </si>
  <si>
    <t>753 751,83 лв. по чл. 64; 35502,08 лв. по чл. 60</t>
  </si>
  <si>
    <t>35 502,08 лв. по чл.60</t>
  </si>
  <si>
    <t>12 312,64 лв. по чл. 60</t>
  </si>
  <si>
    <t>517 956,09 лв. по  чл. 64; 12 312,64 лв. по чл. 60</t>
  </si>
  <si>
    <t>16802,31 лв. по чл. 60</t>
  </si>
  <si>
    <t>550 795,21 лв. по чл. 64; 16802,31 по чл. 60</t>
  </si>
  <si>
    <t>1426,76 лв. по чл. 60</t>
  </si>
  <si>
    <t>II трим. 2020 г.</t>
  </si>
  <si>
    <t>Общо за периода от 2011 г. до II трим. 2020 г.</t>
  </si>
  <si>
    <t>14 999,00 лв. по чл. 64                           24 486,17 лв. по чл. 60</t>
  </si>
  <si>
    <t>16 582,18 лв. по чл. 60</t>
  </si>
  <si>
    <t>69 602,70 лв. по чл. 60</t>
  </si>
  <si>
    <t>24 139,23 лв. по чл. 60</t>
  </si>
  <si>
    <t>32 941,35 лв. по  чл. 60</t>
  </si>
  <si>
    <t>3 422,53 лв. по чл. 60</t>
  </si>
  <si>
    <t>123 104,21 по чл. 64; 3 422,53 по чл. 60</t>
  </si>
  <si>
    <t>6 709,94 лв. по чл. 60</t>
  </si>
  <si>
    <t>2 797,21 лв. по чл. 60</t>
  </si>
  <si>
    <t>Възстановени от ОПОС</t>
  </si>
  <si>
    <t>8 458,03 лв. по чл. 60</t>
  </si>
  <si>
    <t>394 971,24  лв. по чл. 64; 36 975,91 лв. по чл 60</t>
  </si>
  <si>
    <t>30 226,14 лв</t>
  </si>
  <si>
    <t>71 332,83 лв. по чл. 64; 1 426,76 по чл. 60</t>
  </si>
  <si>
    <t>71 332,83 лв. по чл. 64; 4 223,97 лв. по чл. 60</t>
  </si>
  <si>
    <t>123 104,21 лв. по чл. 64; 10 132,47 лв. по чл. 60</t>
  </si>
  <si>
    <t>550 795,21 лв. по чл. 64; 49 743,66 лв. по чл. 60</t>
  </si>
  <si>
    <t>25 040,21 лв. по чл. 60; 212 952,16 лв. по чл. 64</t>
  </si>
  <si>
    <t>III трим. 2020 г.</t>
  </si>
  <si>
    <t>Общо за периода от 2011 г. до III трим. 2020 г.</t>
  </si>
  <si>
    <t>105 104,78 лв. по чл. 60; 753 751,83 лв. по чл. 64;</t>
  </si>
  <si>
    <t>105 104,78 лв. по чл. 60; 901 279,83 лв. по чл. 64;</t>
  </si>
  <si>
    <t>86 558,90 лв. по чл. 64; 4 223,97 лв. по чл. 60</t>
  </si>
  <si>
    <t>IV трим. 2020 г.</t>
  </si>
  <si>
    <t>Общо за периода от 2011 г. до IV трим. 2020 г.</t>
  </si>
  <si>
    <t>23 851,64 лв. по чл. 60</t>
  </si>
  <si>
    <t>394 971,24 лв. по чл. 64; 60 827,55 лв. по чл. 60</t>
  </si>
  <si>
    <t>16 171,75 лв. по чл. 60</t>
  </si>
  <si>
    <t>41 211,96 лв. по чл. 60; 212 952,16 лв. по чл. 64</t>
  </si>
  <si>
    <t>36 451,87 лв. по чл. 60; 558 899,37 лв. по  чл. 64</t>
  </si>
  <si>
    <t>36 451,87 лв. по чл. 60; 517 956,09 лв. по  чл. 64</t>
  </si>
  <si>
    <t>23 541,77 лв. по чл. 60</t>
  </si>
  <si>
    <t>59 993,64 лв. по чл. 60; 558 899,37 лв. по  чл. 64</t>
  </si>
  <si>
    <t>32 126,01 лв. по чл. 60</t>
  </si>
  <si>
    <t>550 795,21 лв. по чл. 64; 81 869,67 лв. по чл. 60</t>
  </si>
  <si>
    <t>7 800,00 лв. по чл. 64; 6 543,87 лв. по чл. 60</t>
  </si>
  <si>
    <t>2 727,97 лв. по чл. 60</t>
  </si>
  <si>
    <t>147 528,00 лв. по чл. 64</t>
  </si>
  <si>
    <t>40 943,28 лв. по чл. 64</t>
  </si>
  <si>
    <t>15 226,07 лв. по чл. 64</t>
  </si>
  <si>
    <t>67 879,97 лв. по чл. 60</t>
  </si>
  <si>
    <t>172 984,75 лв. по чл. 60; 901 279,83 лв. по чл. 64;</t>
  </si>
  <si>
    <t>130 904,21 лв. по чл. 64; 16 676,34 лв. по чл. 60</t>
  </si>
  <si>
    <t>86 558,90 лв. по чл. 64; 6 951,94 лв. по чл. 60</t>
  </si>
  <si>
    <t>I трим. 2021 г.</t>
  </si>
  <si>
    <t>II трим. 2021 г.</t>
  </si>
  <si>
    <t>Общо за периода от 2011 г. до I трим. 2021 г.</t>
  </si>
  <si>
    <t>Общо за периода от 2011 г. до II трим. 2021 г.</t>
  </si>
  <si>
    <t xml:space="preserve"> I трим. 2021 г.</t>
  </si>
  <si>
    <t>Oбщина Враца + фирми</t>
  </si>
  <si>
    <t>17 988,85 лв. по чл. 60; 427 013,93 лв. по чл. 64</t>
  </si>
  <si>
    <t>17 988,85 лв. по чл. 60; 1648916,95 лв. по чл. 64</t>
  </si>
  <si>
    <t>Община Оряхово +фирми</t>
  </si>
  <si>
    <t>6 275,30 лв. по чл. 60; 212 413,41 лв. по чл. 64</t>
  </si>
  <si>
    <t>67 102,85 лв. по чл. 60; 607 384,65 лв. по чл. 64</t>
  </si>
  <si>
    <t>5 778,98 л.в по чл. 60; 73 436,04 лв. по чл. 64</t>
  </si>
  <si>
    <t>46 990,94 лв. по чл. 60; 286 388,20 лв. по чл. 64</t>
  </si>
  <si>
    <t>24 547,15 лв. по чл. 60; 756 400,07 лв. по чл. 64</t>
  </si>
  <si>
    <t>197 531,90 лв. по чл. 60; 1 657 679,90 лв. по чл. 64</t>
  </si>
  <si>
    <t>16 081,91 лв. по чл. 60; 474 161,93 лв. по чл. 64</t>
  </si>
  <si>
    <t>76 075,55 лв. по чл. 60; 1 033 061,30 лв. по чл. 64</t>
  </si>
  <si>
    <t>13 088,88 лв. по чл. 60; 509 823,99 лв. по чл. 64</t>
  </si>
  <si>
    <t>94 958,55 лв. по чл. 60; 1 060 619,20 лв. по чл. 64</t>
  </si>
  <si>
    <t>3394,50 лв. по чл. 60; 43 127,12 лв. по чл. 64</t>
  </si>
  <si>
    <t>20 070,84 лв. по чл. 60; 174 031,33 лв. по чл. 64</t>
  </si>
  <si>
    <t>2 728,43 лв. по чл. 60; 34 512,06 лв. по чл. 64</t>
  </si>
  <si>
    <t>9 680,37 лв. по чл. 60; 121 070,96 лв. по  чл. 64</t>
  </si>
  <si>
    <t>Общо за периода от 2011 г. до  трим. 2021 г.</t>
  </si>
  <si>
    <t>76 473,32 лв. по чл. 64</t>
  </si>
  <si>
    <t>76 075,55 лв. по чл. 60; 1 109 534,62 лв. по чл. 64</t>
  </si>
  <si>
    <t xml:space="preserve"> 66 658,66 лв. по чл. 60; 1 433 164,89 лв. по чл. 64</t>
  </si>
  <si>
    <t>66 658,66 лв. по чл. 60; 5 020 476,03 лв. по чл. 64</t>
  </si>
  <si>
    <t>Възстановени по ОПОС</t>
  </si>
  <si>
    <t>17 988,85 лв. по чл. 60; 1 648 916,95 лв. по чл. 64</t>
  </si>
  <si>
    <t>ІII трим. 2021 г.</t>
  </si>
  <si>
    <t>Общо за периода от 2011 г. до ІII трим. 2021 г.</t>
  </si>
  <si>
    <t>67 102,85 лв. по чл. 60; 631 884,65 лв. по чл. 64</t>
  </si>
  <si>
    <t>24 500,00 лв. по чл. 64</t>
  </si>
  <si>
    <t>23 000,00 лв. по чл. 64</t>
  </si>
  <si>
    <t>20 070,84 лв. по чл. 60; 197 031,33 лв. по чл. 64</t>
  </si>
  <si>
    <t>ІV трим. 2021 г.</t>
  </si>
  <si>
    <t>Общо за периода от 2011 г. до ІV трим. 2021 г.</t>
  </si>
  <si>
    <t>108 232,40 лв. по чл. 64</t>
  </si>
  <si>
    <t>46 990,94 лв. по чл. 60; 394 620,60 лв. по чл. 64</t>
  </si>
  <si>
    <t>60 356,00 лв. по чл.64</t>
  </si>
  <si>
    <t>94 958,55 лв. по чл. 60; 1 120 975,20 лв. по чл. 64</t>
  </si>
  <si>
    <t xml:space="preserve">Сумите записание в колони с  I и J не са внесени, поради изменение в ДОПК. </t>
  </si>
  <si>
    <t>І трим. 2022 г.</t>
  </si>
  <si>
    <t>Общо за периода от 2011 г. до І трим. 2022 г.</t>
  </si>
  <si>
    <t>5,60 лв</t>
  </si>
  <si>
    <t>46 990,94 лв. по чл. 60; 412 620,60 лв. по чл. 64</t>
  </si>
  <si>
    <t>197 531,90 лв. по чл. 60; 1 896 989,90 лв. по чл. 64</t>
  </si>
  <si>
    <t>28 562,63 лв. по чл. 60; 82 754,00 лв. по чл. 64</t>
  </si>
  <si>
    <t>Общо за периода от 2011 г. до I трим. 2022 г.</t>
  </si>
  <si>
    <t>ІІ трим. 2022 г.</t>
  </si>
  <si>
    <t>Общо за периода от 2011 г. до ІІ трим. 2022 г.</t>
  </si>
  <si>
    <t>възст. от ОПОС</t>
  </si>
  <si>
    <t>ІІІ трим. 2022 г.</t>
  </si>
  <si>
    <t>Общо за периода от 2011 г. до ІІІ трим. 2022 г.</t>
  </si>
  <si>
    <t>"Да изчистим България"</t>
  </si>
  <si>
    <t xml:space="preserve">Сумите записани в колони с  I и J не са внесени съгласно ДОПК (писмо от Община Мездра с вх. № УООП-299/1/13.07.22г.). </t>
  </si>
  <si>
    <t>66 658,66 лв. по чл. 60; 6 016 106,51 лв. по чл. 64</t>
  </si>
  <si>
    <t>17 988,85 лв. по чл. 60; 1 947 532,45 лв. по чл. 64</t>
  </si>
  <si>
    <t>995 630,48 по чл. 64</t>
  </si>
  <si>
    <t>298 615,50 лв. по чл.64</t>
  </si>
  <si>
    <t>Намалените суми в колони G и H са прехвърлени в полза на Община Оряхово</t>
  </si>
  <si>
    <t>ІV трим. 2022 г.</t>
  </si>
  <si>
    <t>Общо за периода от 2011 г. до ІV трим. 2022 г.</t>
  </si>
  <si>
    <t xml:space="preserve">Община Козлодуй  </t>
  </si>
  <si>
    <t>Сумата 86714,93 лв.е усвоена по ДОПК съгл. Писмо с вх. № УООП-659/20.12.2022Г</t>
  </si>
  <si>
    <t>4 525,63 лв. по чл.60</t>
  </si>
  <si>
    <t>1 078,17 лв. по чл.60</t>
  </si>
  <si>
    <t>1 569,55 лв. по чл.60</t>
  </si>
  <si>
    <t>181,88 лв. по чл.60</t>
  </si>
  <si>
    <t>68 724,01 лв. по чл. 60; 640 384,65 лв. по чл. 64</t>
  </si>
  <si>
    <t>1 621,16 лв. по чл.60; 8 500,00 лв. по чл.64</t>
  </si>
  <si>
    <t>48 069,11 лв. по чл. 60; 412 620,60 лв. по чл. 64</t>
  </si>
  <si>
    <t>202 057,53 лв. по чл. 60; 1 896 989,90 лв. по чл. 64</t>
  </si>
  <si>
    <t>77 645,10 лв. по чл. 60; 1 109 534,62 лв. по чл. 64</t>
  </si>
  <si>
    <t>97 100,41 лв. по чл. 60; 1 120 975,20 лв. по чл. 64</t>
  </si>
  <si>
    <t>2 141,86 лв. по чл.60</t>
  </si>
  <si>
    <t>436,29 лв. по чл.60; 11 390,40 лв. по чл.64</t>
  </si>
  <si>
    <t>20 507,13 лв. по чл. 60; 208 421,73 лв. по чл. 64</t>
  </si>
  <si>
    <t>9 862,25 лв. по чл. 60; 121 070,96 лв. по  чл. 64</t>
  </si>
  <si>
    <t>Kоличества депонирани отпадъци на депата в Р. България и заплатени отчисления за депониране, съгласно чл. 60 и чл. 64 от ЗУО по общини за периода от 01.01.2011 г. до 31.12.2022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</si>
</sst>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лв.&quot;"/>
    <numFmt numFmtId="165" formatCode="0.000"/>
  </numFmts>
  <fonts count="24" x14ac:knownFonts="1"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1">
    <xf numFmtId="0" fontId="0" fillId="0" borderId="0" xfId="0"/>
    <xf numFmtId="0" fontId="0" fillId="5" borderId="0" xfId="0" applyFill="1"/>
    <xf numFmtId="0" fontId="0" fillId="6" borderId="0" xfId="0" applyFill="1"/>
    <xf numFmtId="0" fontId="0" fillId="0" borderId="0" xfId="0" applyAlignment="1">
      <alignment horizontal="center" vertical="center"/>
    </xf>
    <xf numFmtId="0" fontId="2" fillId="3" borderId="8" xfId="0" applyFont="1" applyFill="1" applyBorder="1"/>
    <xf numFmtId="0" fontId="1" fillId="3" borderId="8" xfId="0" applyFont="1" applyFill="1" applyBorder="1"/>
    <xf numFmtId="0" fontId="1" fillId="0" borderId="7" xfId="0" applyFont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 vertical="center"/>
    </xf>
    <xf numFmtId="0" fontId="5" fillId="6" borderId="16" xfId="0" applyFont="1" applyFill="1" applyBorder="1"/>
    <xf numFmtId="0" fontId="2" fillId="6" borderId="17" xfId="0" applyFont="1" applyFill="1" applyBorder="1" applyAlignment="1">
      <alignment vertical="center" wrapText="1"/>
    </xf>
    <xf numFmtId="0" fontId="5" fillId="0" borderId="14" xfId="0" applyFont="1" applyBorder="1"/>
    <xf numFmtId="0" fontId="5" fillId="0" borderId="13" xfId="0" applyFont="1" applyBorder="1"/>
    <xf numFmtId="0" fontId="5" fillId="5" borderId="14" xfId="0" applyFont="1" applyFill="1" applyBorder="1"/>
    <xf numFmtId="0" fontId="5" fillId="5" borderId="13" xfId="0" applyFont="1" applyFill="1" applyBorder="1"/>
    <xf numFmtId="0" fontId="5" fillId="6" borderId="14" xfId="0" applyFont="1" applyFill="1" applyBorder="1"/>
    <xf numFmtId="0" fontId="5" fillId="6" borderId="13" xfId="0" applyFont="1" applyFill="1" applyBorder="1"/>
    <xf numFmtId="0" fontId="1" fillId="0" borderId="13" xfId="0" applyFont="1" applyBorder="1" applyAlignment="1">
      <alignment horizontal="left" vertical="center" wrapText="1"/>
    </xf>
    <xf numFmtId="0" fontId="5" fillId="7" borderId="14" xfId="0" applyFont="1" applyFill="1" applyBorder="1"/>
    <xf numFmtId="0" fontId="5" fillId="7" borderId="13" xfId="0" applyFont="1" applyFill="1" applyBorder="1"/>
    <xf numFmtId="0" fontId="2" fillId="7" borderId="19" xfId="0" applyFont="1" applyFill="1" applyBorder="1" applyAlignment="1">
      <alignment vertical="center" wrapText="1"/>
    </xf>
    <xf numFmtId="0" fontId="5" fillId="5" borderId="18" xfId="0" applyFont="1" applyFill="1" applyBorder="1"/>
    <xf numFmtId="0" fontId="6" fillId="7" borderId="13" xfId="0" applyFont="1" applyFill="1" applyBorder="1"/>
    <xf numFmtId="165" fontId="7" fillId="5" borderId="13" xfId="0" applyNumberFormat="1" applyFont="1" applyFill="1" applyBorder="1" applyAlignment="1">
      <alignment horizontal="center" vertical="center"/>
    </xf>
    <xf numFmtId="164" fontId="7" fillId="5" borderId="13" xfId="0" applyNumberFormat="1" applyFont="1" applyFill="1" applyBorder="1" applyAlignment="1">
      <alignment horizontal="center" vertical="center"/>
    </xf>
    <xf numFmtId="164" fontId="7" fillId="6" borderId="13" xfId="0" applyNumberFormat="1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/>
    </xf>
    <xf numFmtId="164" fontId="7" fillId="6" borderId="15" xfId="0" applyNumberFormat="1" applyFont="1" applyFill="1" applyBorder="1" applyAlignment="1">
      <alignment horizontal="center" vertical="center"/>
    </xf>
    <xf numFmtId="164" fontId="9" fillId="7" borderId="13" xfId="0" applyNumberFormat="1" applyFont="1" applyFill="1" applyBorder="1" applyAlignment="1">
      <alignment vertical="center"/>
    </xf>
    <xf numFmtId="164" fontId="7" fillId="0" borderId="13" xfId="0" applyNumberFormat="1" applyFont="1" applyBorder="1" applyAlignment="1">
      <alignment horizontal="center" vertical="center"/>
    </xf>
    <xf numFmtId="164" fontId="7" fillId="7" borderId="13" xfId="0" applyNumberFormat="1" applyFont="1" applyFill="1" applyBorder="1"/>
    <xf numFmtId="0" fontId="7" fillId="7" borderId="13" xfId="0" applyFont="1" applyFill="1" applyBorder="1"/>
    <xf numFmtId="0" fontId="10" fillId="7" borderId="13" xfId="0" applyFont="1" applyFill="1" applyBorder="1"/>
    <xf numFmtId="0" fontId="7" fillId="0" borderId="13" xfId="0" applyFont="1" applyBorder="1"/>
    <xf numFmtId="0" fontId="7" fillId="0" borderId="0" xfId="0" applyFont="1"/>
    <xf numFmtId="0" fontId="7" fillId="6" borderId="13" xfId="0" applyFont="1" applyFill="1" applyBorder="1" applyAlignment="1">
      <alignment horizontal="left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/>
    </xf>
    <xf numFmtId="164" fontId="7" fillId="6" borderId="21" xfId="0" applyNumberFormat="1" applyFont="1" applyFill="1" applyBorder="1"/>
    <xf numFmtId="0" fontId="12" fillId="6" borderId="15" xfId="0" applyFont="1" applyFill="1" applyBorder="1"/>
    <xf numFmtId="0" fontId="7" fillId="0" borderId="13" xfId="0" applyFont="1" applyBorder="1" applyAlignment="1">
      <alignment horizontal="center" vertical="center"/>
    </xf>
    <xf numFmtId="164" fontId="7" fillId="0" borderId="22" xfId="0" applyNumberFormat="1" applyFont="1" applyBorder="1"/>
    <xf numFmtId="0" fontId="12" fillId="6" borderId="13" xfId="0" applyFont="1" applyFill="1" applyBorder="1"/>
    <xf numFmtId="0" fontId="7" fillId="5" borderId="13" xfId="0" applyFont="1" applyFill="1" applyBorder="1" applyAlignment="1">
      <alignment horizontal="center" vertical="center"/>
    </xf>
    <xf numFmtId="164" fontId="7" fillId="5" borderId="22" xfId="0" applyNumberFormat="1" applyFont="1" applyFill="1" applyBorder="1"/>
    <xf numFmtId="0" fontId="12" fillId="5" borderId="13" xfId="0" applyFont="1" applyFill="1" applyBorder="1"/>
    <xf numFmtId="0" fontId="12" fillId="0" borderId="13" xfId="0" applyFont="1" applyBorder="1"/>
    <xf numFmtId="164" fontId="7" fillId="6" borderId="22" xfId="0" applyNumberFormat="1" applyFont="1" applyFill="1" applyBorder="1"/>
    <xf numFmtId="165" fontId="7" fillId="7" borderId="13" xfId="0" applyNumberFormat="1" applyFont="1" applyFill="1" applyBorder="1"/>
    <xf numFmtId="164" fontId="7" fillId="7" borderId="22" xfId="0" applyNumberFormat="1" applyFont="1" applyFill="1" applyBorder="1"/>
    <xf numFmtId="0" fontId="12" fillId="7" borderId="13" xfId="0" applyFont="1" applyFill="1" applyBorder="1"/>
    <xf numFmtId="164" fontId="7" fillId="6" borderId="22" xfId="0" applyNumberFormat="1" applyFont="1" applyFill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164" fontId="7" fillId="5" borderId="22" xfId="0" applyNumberFormat="1" applyFont="1" applyFill="1" applyBorder="1" applyAlignment="1">
      <alignment horizontal="center" vertical="center"/>
    </xf>
    <xf numFmtId="165" fontId="9" fillId="7" borderId="13" xfId="0" applyNumberFormat="1" applyFont="1" applyFill="1" applyBorder="1" applyAlignment="1">
      <alignment vertical="center"/>
    </xf>
    <xf numFmtId="164" fontId="7" fillId="7" borderId="13" xfId="0" applyNumberFormat="1" applyFont="1" applyFill="1" applyBorder="1" applyAlignment="1">
      <alignment vertical="center"/>
    </xf>
    <xf numFmtId="0" fontId="7" fillId="6" borderId="13" xfId="0" applyFont="1" applyFill="1" applyBorder="1" applyAlignment="1">
      <alignment vertical="center"/>
    </xf>
    <xf numFmtId="164" fontId="7" fillId="6" borderId="22" xfId="0" applyNumberFormat="1" applyFont="1" applyFill="1" applyBorder="1" applyAlignment="1">
      <alignment vertical="center"/>
    </xf>
    <xf numFmtId="0" fontId="7" fillId="0" borderId="13" xfId="0" applyFont="1" applyBorder="1" applyAlignment="1">
      <alignment vertical="center"/>
    </xf>
    <xf numFmtId="164" fontId="7" fillId="0" borderId="22" xfId="0" applyNumberFormat="1" applyFont="1" applyBorder="1" applyAlignment="1">
      <alignment vertical="center"/>
    </xf>
    <xf numFmtId="0" fontId="7" fillId="5" borderId="13" xfId="0" applyFont="1" applyFill="1" applyBorder="1" applyAlignment="1">
      <alignment vertical="center"/>
    </xf>
    <xf numFmtId="164" fontId="7" fillId="5" borderId="22" xfId="0" applyNumberFormat="1" applyFont="1" applyFill="1" applyBorder="1" applyAlignment="1">
      <alignment vertical="center"/>
    </xf>
    <xf numFmtId="0" fontId="7" fillId="5" borderId="19" xfId="0" applyFont="1" applyFill="1" applyBorder="1" applyAlignment="1">
      <alignment vertical="center"/>
    </xf>
    <xf numFmtId="164" fontId="7" fillId="5" borderId="23" xfId="0" applyNumberFormat="1" applyFont="1" applyFill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5" borderId="22" xfId="0" applyFont="1" applyFill="1" applyBorder="1" applyAlignment="1">
      <alignment vertical="center"/>
    </xf>
    <xf numFmtId="0" fontId="7" fillId="6" borderId="22" xfId="0" applyFont="1" applyFill="1" applyBorder="1" applyAlignment="1">
      <alignment vertical="center"/>
    </xf>
    <xf numFmtId="0" fontId="7" fillId="7" borderId="22" xfId="0" applyFont="1" applyFill="1" applyBorder="1"/>
    <xf numFmtId="0" fontId="7" fillId="6" borderId="13" xfId="0" applyFont="1" applyFill="1" applyBorder="1"/>
    <xf numFmtId="0" fontId="7" fillId="6" borderId="22" xfId="0" applyFont="1" applyFill="1" applyBorder="1"/>
    <xf numFmtId="0" fontId="7" fillId="0" borderId="22" xfId="0" applyFont="1" applyBorder="1"/>
    <xf numFmtId="0" fontId="7" fillId="5" borderId="13" xfId="0" applyFont="1" applyFill="1" applyBorder="1"/>
    <xf numFmtId="0" fontId="7" fillId="5" borderId="22" xfId="0" applyFont="1" applyFill="1" applyBorder="1"/>
    <xf numFmtId="165" fontId="10" fillId="7" borderId="13" xfId="0" applyNumberFormat="1" applyFont="1" applyFill="1" applyBorder="1"/>
    <xf numFmtId="164" fontId="10" fillId="7" borderId="13" xfId="0" applyNumberFormat="1" applyFont="1" applyFill="1" applyBorder="1"/>
    <xf numFmtId="0" fontId="10" fillId="7" borderId="22" xfId="0" applyFont="1" applyFill="1" applyBorder="1"/>
    <xf numFmtId="164" fontId="13" fillId="6" borderId="15" xfId="0" applyNumberFormat="1" applyFont="1" applyFill="1" applyBorder="1" applyAlignment="1">
      <alignment horizontal="center" vertical="center"/>
    </xf>
    <xf numFmtId="164" fontId="14" fillId="6" borderId="17" xfId="0" applyNumberFormat="1" applyFont="1" applyFill="1" applyBorder="1" applyAlignment="1">
      <alignment horizontal="center" vertical="center" wrapText="1"/>
    </xf>
    <xf numFmtId="165" fontId="14" fillId="0" borderId="13" xfId="0" applyNumberFormat="1" applyFont="1" applyFill="1" applyBorder="1" applyAlignment="1">
      <alignment horizontal="center" vertical="center" wrapText="1"/>
    </xf>
    <xf numFmtId="164" fontId="13" fillId="0" borderId="13" xfId="0" applyNumberFormat="1" applyFont="1" applyBorder="1" applyAlignment="1">
      <alignment horizontal="center" vertical="center"/>
    </xf>
    <xf numFmtId="164" fontId="14" fillId="0" borderId="13" xfId="0" applyNumberFormat="1" applyFont="1" applyFill="1" applyBorder="1" applyAlignment="1">
      <alignment horizontal="center" vertical="center" wrapText="1"/>
    </xf>
    <xf numFmtId="165" fontId="14" fillId="5" borderId="13" xfId="0" applyNumberFormat="1" applyFont="1" applyFill="1" applyBorder="1" applyAlignment="1">
      <alignment horizontal="center" vertical="center" wrapText="1"/>
    </xf>
    <xf numFmtId="164" fontId="13" fillId="5" borderId="13" xfId="0" applyNumberFormat="1" applyFont="1" applyFill="1" applyBorder="1" applyAlignment="1">
      <alignment horizontal="center" vertical="center"/>
    </xf>
    <xf numFmtId="164" fontId="14" fillId="5" borderId="13" xfId="0" applyNumberFormat="1" applyFont="1" applyFill="1" applyBorder="1" applyAlignment="1">
      <alignment horizontal="center" vertical="center" wrapText="1"/>
    </xf>
    <xf numFmtId="165" fontId="13" fillId="5" borderId="13" xfId="0" applyNumberFormat="1" applyFont="1" applyFill="1" applyBorder="1" applyAlignment="1">
      <alignment horizontal="center" vertical="center"/>
    </xf>
    <xf numFmtId="165" fontId="14" fillId="6" borderId="13" xfId="0" applyNumberFormat="1" applyFont="1" applyFill="1" applyBorder="1" applyAlignment="1">
      <alignment horizontal="center" vertical="center" wrapText="1"/>
    </xf>
    <xf numFmtId="165" fontId="15" fillId="0" borderId="13" xfId="0" applyNumberFormat="1" applyFont="1" applyBorder="1" applyAlignment="1">
      <alignment horizontal="center" vertical="center"/>
    </xf>
    <xf numFmtId="164" fontId="15" fillId="0" borderId="13" xfId="0" applyNumberFormat="1" applyFont="1" applyBorder="1" applyAlignment="1">
      <alignment horizontal="center" vertical="center"/>
    </xf>
    <xf numFmtId="165" fontId="13" fillId="6" borderId="13" xfId="0" applyNumberFormat="1" applyFont="1" applyFill="1" applyBorder="1" applyAlignment="1">
      <alignment horizontal="center" vertical="center"/>
    </xf>
    <xf numFmtId="164" fontId="13" fillId="6" borderId="13" xfId="0" applyNumberFormat="1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horizontal="left" vertical="center" wrapText="1"/>
    </xf>
    <xf numFmtId="0" fontId="13" fillId="6" borderId="13" xfId="0" applyFont="1" applyFill="1" applyBorder="1" applyAlignment="1">
      <alignment horizontal="left" vertical="center" wrapText="1"/>
    </xf>
    <xf numFmtId="0" fontId="18" fillId="5" borderId="13" xfId="0" applyFont="1" applyFill="1" applyBorder="1" applyAlignment="1">
      <alignment horizontal="left" vertical="center" wrapText="1"/>
    </xf>
    <xf numFmtId="17" fontId="14" fillId="0" borderId="13" xfId="0" applyNumberFormat="1" applyFont="1" applyBorder="1" applyAlignment="1">
      <alignment horizontal="left" vertical="center" wrapText="1"/>
    </xf>
    <xf numFmtId="0" fontId="14" fillId="6" borderId="15" xfId="0" applyFont="1" applyFill="1" applyBorder="1" applyAlignment="1">
      <alignment horizontal="left" vertical="center" wrapText="1"/>
    </xf>
    <xf numFmtId="0" fontId="14" fillId="5" borderId="15" xfId="0" applyFont="1" applyFill="1" applyBorder="1" applyAlignment="1">
      <alignment horizontal="left" vertical="center" wrapText="1"/>
    </xf>
    <xf numFmtId="0" fontId="18" fillId="6" borderId="13" xfId="0" applyFont="1" applyFill="1" applyBorder="1" applyAlignment="1">
      <alignment horizontal="left" vertical="center" wrapText="1"/>
    </xf>
    <xf numFmtId="164" fontId="15" fillId="5" borderId="13" xfId="0" applyNumberFormat="1" applyFont="1" applyFill="1" applyBorder="1" applyAlignment="1">
      <alignment horizontal="center" vertical="center"/>
    </xf>
    <xf numFmtId="164" fontId="15" fillId="6" borderId="13" xfId="0" applyNumberFormat="1" applyFont="1" applyFill="1" applyBorder="1" applyAlignment="1">
      <alignment horizontal="center" vertical="center"/>
    </xf>
    <xf numFmtId="165" fontId="13" fillId="7" borderId="13" xfId="0" applyNumberFormat="1" applyFont="1" applyFill="1" applyBorder="1"/>
    <xf numFmtId="0" fontId="14" fillId="7" borderId="15" xfId="0" applyFont="1" applyFill="1" applyBorder="1" applyAlignment="1">
      <alignment vertical="center" wrapText="1"/>
    </xf>
    <xf numFmtId="0" fontId="18" fillId="7" borderId="13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vertical="center" wrapText="1"/>
    </xf>
    <xf numFmtId="165" fontId="7" fillId="5" borderId="13" xfId="0" applyNumberFormat="1" applyFont="1" applyFill="1" applyBorder="1"/>
    <xf numFmtId="164" fontId="7" fillId="5" borderId="13" xfId="0" applyNumberFormat="1" applyFont="1" applyFill="1" applyBorder="1"/>
    <xf numFmtId="0" fontId="18" fillId="5" borderId="13" xfId="0" applyFont="1" applyFill="1" applyBorder="1" applyAlignment="1">
      <alignment horizontal="left" vertical="top" wrapText="1"/>
    </xf>
    <xf numFmtId="164" fontId="13" fillId="5" borderId="13" xfId="0" applyNumberFormat="1" applyFont="1" applyFill="1" applyBorder="1" applyAlignment="1">
      <alignment vertical="center"/>
    </xf>
    <xf numFmtId="0" fontId="14" fillId="6" borderId="13" xfId="0" applyFont="1" applyFill="1" applyBorder="1" applyAlignment="1">
      <alignment vertical="center" wrapText="1"/>
    </xf>
    <xf numFmtId="0" fontId="14" fillId="6" borderId="13" xfId="0" applyFont="1" applyFill="1" applyBorder="1" applyAlignment="1">
      <alignment horizontal="left" vertical="center" wrapText="1"/>
    </xf>
    <xf numFmtId="0" fontId="18" fillId="6" borderId="13" xfId="0" applyFont="1" applyFill="1" applyBorder="1" applyAlignment="1">
      <alignment horizontal="left" vertical="center"/>
    </xf>
    <xf numFmtId="164" fontId="14" fillId="6" borderId="13" xfId="0" applyNumberFormat="1" applyFont="1" applyFill="1" applyBorder="1" applyAlignment="1">
      <alignment horizontal="center" vertical="center" wrapText="1"/>
    </xf>
    <xf numFmtId="0" fontId="13" fillId="0" borderId="13" xfId="0" applyFont="1" applyBorder="1"/>
    <xf numFmtId="0" fontId="18" fillId="0" borderId="13" xfId="0" applyFont="1" applyBorder="1" applyAlignment="1">
      <alignment horizontal="left" vertical="center"/>
    </xf>
    <xf numFmtId="0" fontId="13" fillId="0" borderId="13" xfId="0" applyFont="1" applyBorder="1" applyAlignment="1">
      <alignment horizontal="center" vertical="center"/>
    </xf>
    <xf numFmtId="0" fontId="13" fillId="5" borderId="13" xfId="0" applyFont="1" applyFill="1" applyBorder="1"/>
    <xf numFmtId="0" fontId="14" fillId="5" borderId="13" xfId="0" applyFont="1" applyFill="1" applyBorder="1" applyAlignment="1">
      <alignment horizontal="left" vertical="center" wrapText="1"/>
    </xf>
    <xf numFmtId="0" fontId="13" fillId="5" borderId="13" xfId="0" applyFont="1" applyFill="1" applyBorder="1" applyAlignment="1">
      <alignment horizontal="center" vertical="center"/>
    </xf>
    <xf numFmtId="4" fontId="14" fillId="0" borderId="13" xfId="0" applyNumberFormat="1" applyFont="1" applyFill="1" applyBorder="1" applyAlignment="1">
      <alignment horizontal="center" vertical="center" wrapText="1"/>
    </xf>
    <xf numFmtId="165" fontId="15" fillId="5" borderId="13" xfId="0" applyNumberFormat="1" applyFont="1" applyFill="1" applyBorder="1" applyAlignment="1">
      <alignment horizontal="center" vertical="center"/>
    </xf>
    <xf numFmtId="165" fontId="15" fillId="0" borderId="13" xfId="0" applyNumberFormat="1" applyFont="1" applyFill="1" applyBorder="1" applyAlignment="1">
      <alignment horizontal="center" vertical="center" wrapText="1"/>
    </xf>
    <xf numFmtId="4" fontId="13" fillId="0" borderId="13" xfId="0" applyNumberFormat="1" applyFont="1" applyFill="1" applyBorder="1" applyAlignment="1">
      <alignment horizontal="center" vertical="center" wrapText="1"/>
    </xf>
    <xf numFmtId="0" fontId="13" fillId="6" borderId="13" xfId="0" applyFont="1" applyFill="1" applyBorder="1"/>
    <xf numFmtId="165" fontId="15" fillId="6" borderId="13" xfId="0" applyNumberFormat="1" applyFont="1" applyFill="1" applyBorder="1" applyAlignment="1">
      <alignment horizontal="center" vertical="center"/>
    </xf>
    <xf numFmtId="0" fontId="14" fillId="6" borderId="19" xfId="0" applyFont="1" applyFill="1" applyBorder="1" applyAlignment="1">
      <alignment horizontal="left" vertical="center" wrapText="1"/>
    </xf>
    <xf numFmtId="0" fontId="14" fillId="5" borderId="19" xfId="0" applyFont="1" applyFill="1" applyBorder="1" applyAlignment="1">
      <alignment horizontal="left" vertical="center" wrapText="1"/>
    </xf>
    <xf numFmtId="0" fontId="16" fillId="6" borderId="13" xfId="0" applyFont="1" applyFill="1" applyBorder="1" applyAlignment="1">
      <alignment horizontal="left" vertical="center" wrapText="1"/>
    </xf>
    <xf numFmtId="164" fontId="13" fillId="6" borderId="13" xfId="0" applyNumberFormat="1" applyFont="1" applyFill="1" applyBorder="1" applyAlignment="1">
      <alignment vertical="center"/>
    </xf>
    <xf numFmtId="0" fontId="13" fillId="6" borderId="13" xfId="0" applyFont="1" applyFill="1" applyBorder="1" applyAlignment="1">
      <alignment vertical="center"/>
    </xf>
    <xf numFmtId="0" fontId="14" fillId="0" borderId="19" xfId="0" applyFont="1" applyBorder="1" applyAlignment="1">
      <alignment horizontal="left" vertical="center" wrapText="1"/>
    </xf>
    <xf numFmtId="165" fontId="13" fillId="0" borderId="13" xfId="0" applyNumberFormat="1" applyFont="1" applyBorder="1" applyAlignment="1">
      <alignment horizontal="center" vertical="center"/>
    </xf>
    <xf numFmtId="164" fontId="13" fillId="0" borderId="13" xfId="0" applyNumberFormat="1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5" borderId="13" xfId="0" applyFont="1" applyFill="1" applyBorder="1" applyAlignment="1">
      <alignment vertical="center"/>
    </xf>
    <xf numFmtId="164" fontId="14" fillId="0" borderId="13" xfId="0" applyNumberFormat="1" applyFont="1" applyBorder="1" applyAlignment="1">
      <alignment horizontal="center" vertical="center"/>
    </xf>
    <xf numFmtId="164" fontId="14" fillId="6" borderId="13" xfId="0" applyNumberFormat="1" applyFont="1" applyFill="1" applyBorder="1" applyAlignment="1">
      <alignment horizontal="center" vertical="center"/>
    </xf>
    <xf numFmtId="0" fontId="13" fillId="5" borderId="19" xfId="0" applyFont="1" applyFill="1" applyBorder="1"/>
    <xf numFmtId="165" fontId="13" fillId="5" borderId="19" xfId="0" applyNumberFormat="1" applyFont="1" applyFill="1" applyBorder="1" applyAlignment="1">
      <alignment horizontal="center" vertical="center"/>
    </xf>
    <xf numFmtId="164" fontId="13" fillId="5" borderId="19" xfId="0" applyNumberFormat="1" applyFont="1" applyFill="1" applyBorder="1" applyAlignment="1">
      <alignment vertical="center"/>
    </xf>
    <xf numFmtId="0" fontId="13" fillId="5" borderId="19" xfId="0" applyFont="1" applyFill="1" applyBorder="1" applyAlignment="1">
      <alignment vertical="center"/>
    </xf>
    <xf numFmtId="165" fontId="13" fillId="6" borderId="19" xfId="0" applyNumberFormat="1" applyFont="1" applyFill="1" applyBorder="1" applyAlignment="1">
      <alignment horizontal="center" vertical="center"/>
    </xf>
    <xf numFmtId="164" fontId="13" fillId="6" borderId="19" xfId="0" applyNumberFormat="1" applyFont="1" applyFill="1" applyBorder="1" applyAlignment="1">
      <alignment horizontal="center" vertical="center"/>
    </xf>
    <xf numFmtId="17" fontId="14" fillId="0" borderId="19" xfId="0" applyNumberFormat="1" applyFont="1" applyBorder="1" applyAlignment="1">
      <alignment horizontal="left" vertical="center" wrapText="1"/>
    </xf>
    <xf numFmtId="0" fontId="5" fillId="0" borderId="18" xfId="0" applyFont="1" applyBorder="1"/>
    <xf numFmtId="0" fontId="13" fillId="0" borderId="19" xfId="0" applyFont="1" applyBorder="1"/>
    <xf numFmtId="165" fontId="13" fillId="0" borderId="19" xfId="0" applyNumberFormat="1" applyFont="1" applyBorder="1" applyAlignment="1">
      <alignment horizontal="center" vertical="center"/>
    </xf>
    <xf numFmtId="164" fontId="14" fillId="0" borderId="19" xfId="0" applyNumberFormat="1" applyFont="1" applyBorder="1" applyAlignment="1">
      <alignment horizontal="center" vertical="center"/>
    </xf>
    <xf numFmtId="164" fontId="13" fillId="0" borderId="19" xfId="0" applyNumberFormat="1" applyFont="1" applyBorder="1" applyAlignment="1">
      <alignment horizontal="center" vertical="center"/>
    </xf>
    <xf numFmtId="164" fontId="13" fillId="0" borderId="19" xfId="0" applyNumberFormat="1" applyFont="1" applyBorder="1" applyAlignment="1">
      <alignment vertical="center"/>
    </xf>
    <xf numFmtId="164" fontId="13" fillId="6" borderId="19" xfId="0" applyNumberFormat="1" applyFont="1" applyFill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164" fontId="7" fillId="0" borderId="23" xfId="0" applyNumberFormat="1" applyFont="1" applyBorder="1" applyAlignment="1">
      <alignment vertical="center"/>
    </xf>
    <xf numFmtId="0" fontId="16" fillId="0" borderId="13" xfId="0" applyFont="1" applyBorder="1" applyAlignment="1">
      <alignment horizontal="left" vertical="center"/>
    </xf>
    <xf numFmtId="165" fontId="14" fillId="0" borderId="13" xfId="0" applyNumberFormat="1" applyFont="1" applyBorder="1" applyAlignment="1">
      <alignment horizontal="center" vertical="center"/>
    </xf>
    <xf numFmtId="165" fontId="19" fillId="6" borderId="13" xfId="0" applyNumberFormat="1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left" vertical="center"/>
    </xf>
    <xf numFmtId="0" fontId="18" fillId="0" borderId="13" xfId="0" applyFont="1" applyBorder="1"/>
    <xf numFmtId="165" fontId="1" fillId="6" borderId="7" xfId="0" applyNumberFormat="1" applyFont="1" applyFill="1" applyBorder="1" applyAlignment="1">
      <alignment horizontal="center" vertical="center" wrapText="1" shrinkToFit="1"/>
    </xf>
    <xf numFmtId="165" fontId="14" fillId="6" borderId="13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14" fillId="0" borderId="19" xfId="0" applyFont="1" applyBorder="1" applyAlignment="1">
      <alignment vertical="center" wrapText="1"/>
    </xf>
    <xf numFmtId="0" fontId="15" fillId="0" borderId="19" xfId="0" applyFont="1" applyBorder="1" applyAlignment="1">
      <alignment horizontal="left" vertical="center" wrapText="1"/>
    </xf>
    <xf numFmtId="0" fontId="14" fillId="0" borderId="13" xfId="0" applyFont="1" applyBorder="1" applyAlignment="1">
      <alignment vertical="center" wrapText="1"/>
    </xf>
    <xf numFmtId="0" fontId="14" fillId="5" borderId="13" xfId="0" applyFont="1" applyFill="1" applyBorder="1" applyAlignment="1">
      <alignment vertical="center" wrapText="1"/>
    </xf>
    <xf numFmtId="0" fontId="15" fillId="5" borderId="19" xfId="0" applyFont="1" applyFill="1" applyBorder="1" applyAlignment="1">
      <alignment horizontal="left" vertical="center" wrapText="1"/>
    </xf>
    <xf numFmtId="164" fontId="13" fillId="5" borderId="15" xfId="0" applyNumberFormat="1" applyFont="1" applyFill="1" applyBorder="1" applyAlignment="1">
      <alignment horizontal="center" vertical="center"/>
    </xf>
    <xf numFmtId="0" fontId="15" fillId="0" borderId="13" xfId="0" applyFont="1" applyBorder="1" applyAlignment="1">
      <alignment horizontal="left" vertical="center"/>
    </xf>
    <xf numFmtId="0" fontId="14" fillId="6" borderId="15" xfId="0" applyFont="1" applyFill="1" applyBorder="1" applyAlignment="1">
      <alignment vertical="center" wrapText="1"/>
    </xf>
    <xf numFmtId="164" fontId="7" fillId="6" borderId="13" xfId="0" applyNumberFormat="1" applyFont="1" applyFill="1" applyBorder="1"/>
    <xf numFmtId="164" fontId="15" fillId="6" borderId="13" xfId="0" applyNumberFormat="1" applyFont="1" applyFill="1" applyBorder="1" applyAlignment="1">
      <alignment vertical="center"/>
    </xf>
    <xf numFmtId="165" fontId="13" fillId="6" borderId="13" xfId="0" applyNumberFormat="1" applyFont="1" applyFill="1" applyBorder="1" applyAlignment="1">
      <alignment horizontal="left" vertical="center" wrapText="1"/>
    </xf>
    <xf numFmtId="164" fontId="15" fillId="0" borderId="13" xfId="0" applyNumberFormat="1" applyFont="1" applyBorder="1" applyAlignment="1">
      <alignment horizontal="center" vertical="center" wrapText="1"/>
    </xf>
    <xf numFmtId="0" fontId="0" fillId="6" borderId="13" xfId="0" applyFill="1" applyBorder="1"/>
    <xf numFmtId="0" fontId="1" fillId="6" borderId="7" xfId="0" applyFont="1" applyFill="1" applyBorder="1" applyAlignment="1">
      <alignment horizontal="center" vertical="center" wrapText="1"/>
    </xf>
    <xf numFmtId="4" fontId="13" fillId="6" borderId="13" xfId="0" applyNumberFormat="1" applyFont="1" applyFill="1" applyBorder="1" applyAlignment="1">
      <alignment horizontal="center" vertical="center" wrapText="1"/>
    </xf>
    <xf numFmtId="0" fontId="1" fillId="5" borderId="8" xfId="0" applyFont="1" applyFill="1" applyBorder="1" applyAlignment="1" applyProtection="1">
      <alignment horizontal="center" vertical="center" wrapText="1"/>
      <protection locked="0"/>
    </xf>
    <xf numFmtId="0" fontId="1" fillId="5" borderId="8" xfId="0" applyFont="1" applyFill="1" applyBorder="1" applyAlignment="1">
      <alignment horizontal="center" vertical="center" wrapText="1"/>
    </xf>
    <xf numFmtId="164" fontId="15" fillId="5" borderId="13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vertical="top" wrapText="1"/>
    </xf>
    <xf numFmtId="165" fontId="1" fillId="4" borderId="7" xfId="0" applyNumberFormat="1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 wrapText="1"/>
    </xf>
    <xf numFmtId="0" fontId="13" fillId="6" borderId="13" xfId="0" applyFont="1" applyFill="1" applyBorder="1" applyAlignment="1">
      <alignment horizontal="left" vertical="top" wrapText="1"/>
    </xf>
    <xf numFmtId="164" fontId="21" fillId="6" borderId="13" xfId="0" applyNumberFormat="1" applyFont="1" applyFill="1" applyBorder="1" applyAlignment="1">
      <alignment horizontal="center" vertical="center"/>
    </xf>
    <xf numFmtId="0" fontId="0" fillId="6" borderId="26" xfId="0" applyFill="1" applyBorder="1" applyAlignment="1"/>
    <xf numFmtId="0" fontId="0" fillId="6" borderId="0" xfId="0" applyFill="1" applyAlignment="1"/>
    <xf numFmtId="0" fontId="5" fillId="6" borderId="19" xfId="0" applyFont="1" applyFill="1" applyBorder="1"/>
    <xf numFmtId="0" fontId="13" fillId="6" borderId="19" xfId="0" applyFont="1" applyFill="1" applyBorder="1"/>
    <xf numFmtId="0" fontId="13" fillId="6" borderId="19" xfId="0" applyFont="1" applyFill="1" applyBorder="1" applyAlignment="1">
      <alignment horizontal="left" vertical="center" wrapText="1"/>
    </xf>
    <xf numFmtId="0" fontId="7" fillId="6" borderId="19" xfId="0" applyFont="1" applyFill="1" applyBorder="1"/>
    <xf numFmtId="0" fontId="7" fillId="6" borderId="23" xfId="0" applyFont="1" applyFill="1" applyBorder="1"/>
    <xf numFmtId="0" fontId="12" fillId="6" borderId="19" xfId="0" applyFont="1" applyFill="1" applyBorder="1"/>
    <xf numFmtId="0" fontId="5" fillId="5" borderId="15" xfId="0" applyFont="1" applyFill="1" applyBorder="1"/>
    <xf numFmtId="0" fontId="13" fillId="5" borderId="15" xfId="0" applyFont="1" applyFill="1" applyBorder="1"/>
    <xf numFmtId="0" fontId="14" fillId="5" borderId="27" xfId="0" applyFont="1" applyFill="1" applyBorder="1" applyAlignment="1">
      <alignment horizontal="left" vertical="center" wrapText="1"/>
    </xf>
    <xf numFmtId="0" fontId="18" fillId="5" borderId="15" xfId="0" applyFont="1" applyFill="1" applyBorder="1" applyAlignment="1">
      <alignment horizontal="left" vertical="center" wrapText="1"/>
    </xf>
    <xf numFmtId="165" fontId="13" fillId="5" borderId="15" xfId="0" applyNumberFormat="1" applyFont="1" applyFill="1" applyBorder="1" applyAlignment="1">
      <alignment horizontal="center" vertical="center"/>
    </xf>
    <xf numFmtId="0" fontId="7" fillId="5" borderId="15" xfId="0" applyFont="1" applyFill="1" applyBorder="1"/>
    <xf numFmtId="0" fontId="7" fillId="5" borderId="21" xfId="0" applyFont="1" applyFill="1" applyBorder="1"/>
    <xf numFmtId="0" fontId="12" fillId="5" borderId="15" xfId="0" applyFont="1" applyFill="1" applyBorder="1"/>
    <xf numFmtId="165" fontId="19" fillId="6" borderId="0" xfId="0" applyNumberFormat="1" applyFont="1" applyFill="1" applyBorder="1" applyAlignment="1">
      <alignment horizontal="center" vertical="center"/>
    </xf>
    <xf numFmtId="0" fontId="0" fillId="6" borderId="0" xfId="0" applyFill="1" applyBorder="1"/>
    <xf numFmtId="164" fontId="13" fillId="5" borderId="22" xfId="0" applyNumberFormat="1" applyFont="1" applyFill="1" applyBorder="1" applyAlignment="1">
      <alignment horizontal="center" vertical="center"/>
    </xf>
    <xf numFmtId="164" fontId="13" fillId="6" borderId="0" xfId="0" applyNumberFormat="1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wrapText="1"/>
    </xf>
    <xf numFmtId="165" fontId="13" fillId="5" borderId="23" xfId="0" applyNumberFormat="1" applyFont="1" applyFill="1" applyBorder="1" applyAlignment="1">
      <alignment horizontal="center" vertical="center"/>
    </xf>
    <xf numFmtId="165" fontId="13" fillId="6" borderId="23" xfId="0" applyNumberFormat="1" applyFont="1" applyFill="1" applyBorder="1" applyAlignment="1">
      <alignment horizontal="center" vertical="center"/>
    </xf>
    <xf numFmtId="164" fontId="13" fillId="6" borderId="22" xfId="0" applyNumberFormat="1" applyFont="1" applyFill="1" applyBorder="1" applyAlignment="1">
      <alignment horizontal="center" vertical="center"/>
    </xf>
    <xf numFmtId="0" fontId="18" fillId="6" borderId="13" xfId="0" applyFont="1" applyFill="1" applyBorder="1" applyAlignment="1">
      <alignment horizontal="left" vertical="top" wrapText="1"/>
    </xf>
    <xf numFmtId="0" fontId="12" fillId="6" borderId="13" xfId="0" applyFont="1" applyFill="1" applyBorder="1" applyAlignment="1">
      <alignment vertical="top" wrapText="1"/>
    </xf>
    <xf numFmtId="0" fontId="22" fillId="6" borderId="19" xfId="0" applyFont="1" applyFill="1" applyBorder="1" applyAlignment="1">
      <alignment vertical="top" wrapText="1"/>
    </xf>
    <xf numFmtId="0" fontId="22" fillId="5" borderId="13" xfId="0" applyFont="1" applyFill="1" applyBorder="1" applyAlignment="1">
      <alignment vertical="top" wrapText="1"/>
    </xf>
    <xf numFmtId="164" fontId="13" fillId="6" borderId="13" xfId="0" applyNumberFormat="1" applyFont="1" applyFill="1" applyBorder="1" applyAlignment="1">
      <alignment horizontal="center" vertical="center" wrapText="1"/>
    </xf>
    <xf numFmtId="164" fontId="13" fillId="5" borderId="13" xfId="0" applyNumberFormat="1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22" fillId="6" borderId="13" xfId="0" applyFont="1" applyFill="1" applyBorder="1" applyAlignment="1">
      <alignment vertical="top" wrapText="1"/>
    </xf>
    <xf numFmtId="0" fontId="15" fillId="5" borderId="13" xfId="0" applyFont="1" applyFill="1" applyBorder="1" applyAlignment="1">
      <alignment horizontal="left" vertical="center" wrapText="1"/>
    </xf>
    <xf numFmtId="164" fontId="15" fillId="6" borderId="13" xfId="0" applyNumberFormat="1" applyFont="1" applyFill="1" applyBorder="1" applyAlignment="1">
      <alignment horizontal="center" vertical="center" wrapText="1"/>
    </xf>
    <xf numFmtId="0" fontId="15" fillId="6" borderId="19" xfId="0" applyFont="1" applyFill="1" applyBorder="1" applyAlignment="1">
      <alignment horizontal="left" vertical="center" wrapText="1"/>
    </xf>
    <xf numFmtId="0" fontId="13" fillId="6" borderId="13" xfId="0" applyFont="1" applyFill="1" applyBorder="1" applyAlignment="1">
      <alignment wrapText="1"/>
    </xf>
    <xf numFmtId="164" fontId="23" fillId="6" borderId="13" xfId="0" applyNumberFormat="1" applyFont="1" applyFill="1" applyBorder="1" applyAlignment="1">
      <alignment horizontal="center" vertical="center"/>
    </xf>
    <xf numFmtId="0" fontId="5" fillId="0" borderId="14" xfId="0" applyFont="1" applyFill="1" applyBorder="1"/>
    <xf numFmtId="0" fontId="5" fillId="0" borderId="13" xfId="0" applyFont="1" applyFill="1" applyBorder="1"/>
    <xf numFmtId="165" fontId="13" fillId="0" borderId="13" xfId="0" applyNumberFormat="1" applyFont="1" applyFill="1" applyBorder="1" applyAlignment="1">
      <alignment horizontal="center" vertical="center"/>
    </xf>
    <xf numFmtId="164" fontId="13" fillId="0" borderId="13" xfId="0" applyNumberFormat="1" applyFont="1" applyFill="1" applyBorder="1" applyAlignment="1">
      <alignment horizontal="center" vertical="center"/>
    </xf>
    <xf numFmtId="164" fontId="13" fillId="0" borderId="13" xfId="0" applyNumberFormat="1" applyFont="1" applyFill="1" applyBorder="1" applyAlignment="1">
      <alignment horizontal="center" vertical="center" wrapText="1"/>
    </xf>
    <xf numFmtId="164" fontId="7" fillId="0" borderId="22" xfId="0" applyNumberFormat="1" applyFont="1" applyFill="1" applyBorder="1"/>
    <xf numFmtId="0" fontId="12" fillId="0" borderId="13" xfId="0" applyFont="1" applyFill="1" applyBorder="1"/>
    <xf numFmtId="0" fontId="0" fillId="0" borderId="0" xfId="0" applyFill="1"/>
    <xf numFmtId="0" fontId="13" fillId="0" borderId="13" xfId="0" applyFont="1" applyFill="1" applyBorder="1"/>
    <xf numFmtId="165" fontId="15" fillId="0" borderId="13" xfId="0" applyNumberFormat="1" applyFont="1" applyFill="1" applyBorder="1" applyAlignment="1">
      <alignment horizontal="center" vertical="center"/>
    </xf>
    <xf numFmtId="164" fontId="15" fillId="0" borderId="13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vertical="top" wrapText="1"/>
    </xf>
    <xf numFmtId="165" fontId="13" fillId="0" borderId="19" xfId="0" applyNumberFormat="1" applyFont="1" applyFill="1" applyBorder="1" applyAlignment="1">
      <alignment horizontal="center" vertical="center"/>
    </xf>
    <xf numFmtId="165" fontId="13" fillId="0" borderId="23" xfId="0" applyNumberFormat="1" applyFont="1" applyFill="1" applyBorder="1" applyAlignment="1">
      <alignment horizontal="center" vertical="center"/>
    </xf>
    <xf numFmtId="164" fontId="13" fillId="0" borderId="22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7" fillId="0" borderId="13" xfId="0" applyFont="1" applyFill="1" applyBorder="1"/>
    <xf numFmtId="0" fontId="7" fillId="0" borderId="22" xfId="0" applyFont="1" applyFill="1" applyBorder="1"/>
    <xf numFmtId="0" fontId="14" fillId="0" borderId="19" xfId="0" applyFont="1" applyFill="1" applyBorder="1" applyAlignment="1">
      <alignment horizontal="left" vertical="center" wrapText="1"/>
    </xf>
    <xf numFmtId="164" fontId="15" fillId="0" borderId="13" xfId="0" applyNumberFormat="1" applyFont="1" applyFill="1" applyBorder="1" applyAlignment="1">
      <alignment horizontal="center" vertical="center" wrapText="1"/>
    </xf>
    <xf numFmtId="0" fontId="5" fillId="5" borderId="22" xfId="0" applyFont="1" applyFill="1" applyBorder="1"/>
    <xf numFmtId="0" fontId="14" fillId="0" borderId="13" xfId="0" applyFont="1" applyFill="1" applyBorder="1" applyAlignment="1">
      <alignment horizontal="left" vertical="center" wrapText="1"/>
    </xf>
    <xf numFmtId="164" fontId="21" fillId="5" borderId="13" xfId="0" applyNumberFormat="1" applyFont="1" applyFill="1" applyBorder="1" applyAlignment="1">
      <alignment horizontal="center" vertical="center"/>
    </xf>
    <xf numFmtId="164" fontId="21" fillId="5" borderId="13" xfId="0" applyNumberFormat="1" applyFont="1" applyFill="1" applyBorder="1" applyAlignment="1">
      <alignment horizontal="center" vertical="center" wrapText="1"/>
    </xf>
    <xf numFmtId="164" fontId="21" fillId="0" borderId="13" xfId="0" applyNumberFormat="1" applyFont="1" applyFill="1" applyBorder="1" applyAlignment="1">
      <alignment horizontal="center" vertical="center" wrapText="1"/>
    </xf>
    <xf numFmtId="164" fontId="23" fillId="6" borderId="22" xfId="0" applyNumberFormat="1" applyFont="1" applyFill="1" applyBorder="1" applyAlignment="1">
      <alignment horizontal="center" vertical="center" wrapText="1"/>
    </xf>
    <xf numFmtId="164" fontId="23" fillId="6" borderId="25" xfId="0" applyNumberFormat="1" applyFont="1" applyFill="1" applyBorder="1" applyAlignment="1">
      <alignment horizontal="center" vertical="center" wrapText="1"/>
    </xf>
    <xf numFmtId="0" fontId="22" fillId="6" borderId="19" xfId="0" applyFont="1" applyFill="1" applyBorder="1" applyAlignment="1">
      <alignment horizontal="left" vertical="top" wrapText="1"/>
    </xf>
    <xf numFmtId="0" fontId="22" fillId="6" borderId="15" xfId="0" applyFont="1" applyFill="1" applyBorder="1" applyAlignment="1">
      <alignment horizontal="left" vertical="top" wrapText="1"/>
    </xf>
    <xf numFmtId="0" fontId="5" fillId="0" borderId="22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 shrinkToFit="1"/>
    </xf>
    <xf numFmtId="0" fontId="1" fillId="7" borderId="4" xfId="0" applyFont="1" applyFill="1" applyBorder="1" applyAlignment="1">
      <alignment horizontal="center" vertical="center" wrapText="1" shrinkToFi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9" borderId="7" xfId="0" applyFont="1" applyFill="1" applyBorder="1" applyAlignment="1">
      <alignment horizontal="center" vertical="center" wrapText="1" shrinkToFit="1"/>
    </xf>
    <xf numFmtId="0" fontId="1" fillId="9" borderId="4" xfId="0" applyFont="1" applyFill="1" applyBorder="1" applyAlignment="1">
      <alignment horizontal="center" vertical="center" wrapText="1" shrinkToFit="1"/>
    </xf>
    <xf numFmtId="0" fontId="1" fillId="8" borderId="7" xfId="0" applyFont="1" applyFill="1" applyBorder="1" applyAlignment="1">
      <alignment horizontal="center" vertical="center" wrapText="1" shrinkToFit="1"/>
    </xf>
    <xf numFmtId="0" fontId="1" fillId="8" borderId="4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485775</xdr:colOff>
      <xdr:row>5</xdr:row>
      <xdr:rowOff>409575</xdr:rowOff>
    </xdr:from>
    <xdr:ext cx="184731" cy="264560"/>
    <xdr:sp macro="" textlink="">
      <xdr:nvSpPr>
        <xdr:cNvPr id="2" name="Текстово поле 1"/>
        <xdr:cNvSpPr txBox="1"/>
      </xdr:nvSpPr>
      <xdr:spPr>
        <a:xfrm>
          <a:off x="5153025" y="149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485775</xdr:colOff>
      <xdr:row>5</xdr:row>
      <xdr:rowOff>409575</xdr:rowOff>
    </xdr:from>
    <xdr:ext cx="184731" cy="264560"/>
    <xdr:sp macro="" textlink="">
      <xdr:nvSpPr>
        <xdr:cNvPr id="3" name="Текстово поле 2"/>
        <xdr:cNvSpPr txBox="1"/>
      </xdr:nvSpPr>
      <xdr:spPr>
        <a:xfrm>
          <a:off x="5153025" y="149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7</xdr:col>
      <xdr:colOff>485775</xdr:colOff>
      <xdr:row>5</xdr:row>
      <xdr:rowOff>409575</xdr:rowOff>
    </xdr:from>
    <xdr:ext cx="184731" cy="264560"/>
    <xdr:sp macro="" textlink="">
      <xdr:nvSpPr>
        <xdr:cNvPr id="4" name="Текстово поле 3"/>
        <xdr:cNvSpPr txBox="1"/>
      </xdr:nvSpPr>
      <xdr:spPr>
        <a:xfrm>
          <a:off x="5153025" y="149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47"/>
  <sheetViews>
    <sheetView tabSelected="1" zoomScale="84" zoomScaleNormal="84" workbookViewId="0">
      <selection sqref="A1:S1"/>
    </sheetView>
  </sheetViews>
  <sheetFormatPr defaultRowHeight="15" x14ac:dyDescent="0.25"/>
  <cols>
    <col min="1" max="1" width="2.7109375" customWidth="1"/>
    <col min="2" max="2" width="9.85546875" customWidth="1"/>
    <col min="3" max="3" width="13.42578125" customWidth="1"/>
    <col min="4" max="4" width="16.140625" customWidth="1"/>
    <col min="5" max="5" width="13.140625" style="167" customWidth="1"/>
    <col min="6" max="6" width="10" customWidth="1"/>
    <col min="7" max="7" width="14.140625" style="2" customWidth="1"/>
    <col min="8" max="8" width="17" style="2" customWidth="1"/>
    <col min="9" max="9" width="15.28515625" customWidth="1"/>
    <col min="10" max="10" width="12.85546875" customWidth="1"/>
    <col min="11" max="11" width="13.42578125" customWidth="1"/>
    <col min="12" max="12" width="14.140625" customWidth="1"/>
    <col min="13" max="13" width="13.28515625" customWidth="1"/>
    <col min="14" max="14" width="4.5703125" customWidth="1"/>
    <col min="15" max="15" width="5.140625" customWidth="1"/>
    <col min="16" max="16" width="17.85546875" style="39" customWidth="1"/>
    <col min="17" max="17" width="5.5703125" customWidth="1"/>
    <col min="18" max="18" width="6" customWidth="1"/>
    <col min="19" max="19" width="15.140625" customWidth="1"/>
  </cols>
  <sheetData>
    <row r="1" spans="1:400" ht="36" customHeight="1" thickBot="1" x14ac:dyDescent="0.3">
      <c r="A1" s="274" t="s">
        <v>245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6"/>
    </row>
    <row r="2" spans="1:400" ht="15.75" thickBot="1" x14ac:dyDescent="0.3">
      <c r="A2" s="4"/>
      <c r="B2" s="5" t="s">
        <v>0</v>
      </c>
      <c r="C2" s="288" t="s">
        <v>1</v>
      </c>
      <c r="D2" s="289"/>
      <c r="E2" s="277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9"/>
    </row>
    <row r="3" spans="1:400" ht="15" customHeight="1" x14ac:dyDescent="0.25">
      <c r="A3" s="290" t="s">
        <v>2</v>
      </c>
      <c r="B3" s="290" t="s">
        <v>3</v>
      </c>
      <c r="C3" s="282" t="s">
        <v>4</v>
      </c>
      <c r="D3" s="293" t="s">
        <v>5</v>
      </c>
      <c r="E3" s="294"/>
      <c r="F3" s="299" t="s">
        <v>8</v>
      </c>
      <c r="G3" s="266" t="s">
        <v>9</v>
      </c>
      <c r="H3" s="267"/>
      <c r="I3" s="284" t="s">
        <v>12</v>
      </c>
      <c r="J3" s="284" t="s">
        <v>13</v>
      </c>
      <c r="K3" s="286" t="s">
        <v>14</v>
      </c>
      <c r="L3" s="282" t="s">
        <v>15</v>
      </c>
      <c r="M3" s="282" t="s">
        <v>16</v>
      </c>
      <c r="N3" s="272" t="s">
        <v>17</v>
      </c>
      <c r="O3" s="272" t="s">
        <v>18</v>
      </c>
      <c r="P3" s="282" t="s">
        <v>19</v>
      </c>
      <c r="Q3" s="280" t="s">
        <v>20</v>
      </c>
      <c r="R3" s="282" t="s">
        <v>21</v>
      </c>
      <c r="S3" s="263" t="s">
        <v>56</v>
      </c>
    </row>
    <row r="4" spans="1:400" x14ac:dyDescent="0.25">
      <c r="A4" s="291"/>
      <c r="B4" s="292"/>
      <c r="C4" s="283"/>
      <c r="D4" s="295"/>
      <c r="E4" s="296"/>
      <c r="F4" s="300"/>
      <c r="G4" s="268"/>
      <c r="H4" s="269"/>
      <c r="I4" s="285"/>
      <c r="J4" s="285"/>
      <c r="K4" s="287"/>
      <c r="L4" s="283"/>
      <c r="M4" s="283"/>
      <c r="N4" s="273"/>
      <c r="O4" s="273"/>
      <c r="P4" s="283"/>
      <c r="Q4" s="281"/>
      <c r="R4" s="283"/>
      <c r="S4" s="264"/>
    </row>
    <row r="5" spans="1:400" ht="15.75" customHeight="1" thickBot="1" x14ac:dyDescent="0.3">
      <c r="A5" s="291"/>
      <c r="B5" s="292"/>
      <c r="C5" s="283"/>
      <c r="D5" s="297"/>
      <c r="E5" s="298"/>
      <c r="F5" s="300"/>
      <c r="G5" s="270"/>
      <c r="H5" s="271"/>
      <c r="I5" s="285"/>
      <c r="J5" s="285"/>
      <c r="K5" s="287"/>
      <c r="L5" s="283"/>
      <c r="M5" s="283"/>
      <c r="N5" s="273"/>
      <c r="O5" s="273"/>
      <c r="P5" s="283"/>
      <c r="Q5" s="281"/>
      <c r="R5" s="283"/>
      <c r="S5" s="264"/>
    </row>
    <row r="6" spans="1:400" ht="121.5" customHeight="1" thickBot="1" x14ac:dyDescent="0.3">
      <c r="A6" s="291"/>
      <c r="B6" s="292"/>
      <c r="C6" s="283"/>
      <c r="D6" s="6" t="s">
        <v>6</v>
      </c>
      <c r="E6" s="165" t="s">
        <v>7</v>
      </c>
      <c r="F6" s="300"/>
      <c r="G6" s="181" t="s">
        <v>10</v>
      </c>
      <c r="H6" s="181" t="s">
        <v>11</v>
      </c>
      <c r="I6" s="285"/>
      <c r="J6" s="285"/>
      <c r="K6" s="287"/>
      <c r="L6" s="283"/>
      <c r="M6" s="283"/>
      <c r="N6" s="273"/>
      <c r="O6" s="273"/>
      <c r="P6" s="283"/>
      <c r="Q6" s="281"/>
      <c r="R6" s="283"/>
      <c r="S6" s="265"/>
    </row>
    <row r="7" spans="1:400" ht="14.25" customHeight="1" thickBot="1" x14ac:dyDescent="0.3">
      <c r="A7" s="7">
        <v>1</v>
      </c>
      <c r="B7" s="8">
        <v>2</v>
      </c>
      <c r="C7" s="186">
        <v>3</v>
      </c>
      <c r="D7" s="186">
        <v>4</v>
      </c>
      <c r="E7" s="188">
        <v>5</v>
      </c>
      <c r="F7" s="8">
        <v>6</v>
      </c>
      <c r="G7" s="183">
        <v>7</v>
      </c>
      <c r="H7" s="184">
        <v>8</v>
      </c>
      <c r="I7" s="9">
        <v>9</v>
      </c>
      <c r="J7" s="8">
        <v>11</v>
      </c>
      <c r="K7" s="8">
        <v>12</v>
      </c>
      <c r="L7" s="10">
        <v>13</v>
      </c>
      <c r="M7" s="10">
        <v>14</v>
      </c>
      <c r="N7" s="7">
        <v>15</v>
      </c>
      <c r="O7" s="7">
        <v>16</v>
      </c>
      <c r="P7" s="31">
        <v>17</v>
      </c>
      <c r="Q7" s="11">
        <v>18</v>
      </c>
      <c r="R7" s="11">
        <v>19</v>
      </c>
      <c r="S7" s="12">
        <v>20</v>
      </c>
    </row>
    <row r="8" spans="1:400" s="2" customFormat="1" ht="36.75" customHeight="1" x14ac:dyDescent="0.25">
      <c r="A8" s="13"/>
      <c r="B8" s="14" t="s">
        <v>22</v>
      </c>
      <c r="C8" s="116" t="s">
        <v>60</v>
      </c>
      <c r="D8" s="133">
        <v>2011</v>
      </c>
      <c r="E8" s="93">
        <v>17415.05</v>
      </c>
      <c r="F8" s="81"/>
      <c r="H8" s="81">
        <v>26269.13</v>
      </c>
      <c r="I8" s="81"/>
      <c r="J8" s="82"/>
      <c r="K8" s="82"/>
      <c r="L8" s="32"/>
      <c r="M8" s="32"/>
      <c r="N8" s="42"/>
      <c r="O8" s="42"/>
      <c r="P8" s="81">
        <v>0</v>
      </c>
      <c r="Q8" s="42"/>
      <c r="R8" s="43"/>
      <c r="S8" s="44"/>
    </row>
    <row r="9" spans="1:400" ht="22.5" customHeight="1" x14ac:dyDescent="0.25">
      <c r="A9" s="15"/>
      <c r="B9" s="16"/>
      <c r="C9" s="116" t="s">
        <v>60</v>
      </c>
      <c r="D9" s="97">
        <v>2012</v>
      </c>
      <c r="E9" s="83">
        <v>16855.93</v>
      </c>
      <c r="F9" s="84"/>
      <c r="G9" s="118">
        <v>3895.56</v>
      </c>
      <c r="H9" s="118">
        <v>103533.75</v>
      </c>
      <c r="I9" s="85"/>
      <c r="J9" s="85"/>
      <c r="K9" s="84"/>
      <c r="L9" s="34"/>
      <c r="M9" s="34"/>
      <c r="N9" s="45"/>
      <c r="O9" s="45"/>
      <c r="P9" s="81">
        <v>0</v>
      </c>
      <c r="Q9" s="45"/>
      <c r="R9" s="46"/>
      <c r="S9" s="47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</row>
    <row r="10" spans="1:400" s="1" customFormat="1" ht="47.25" customHeight="1" x14ac:dyDescent="0.25">
      <c r="A10" s="17"/>
      <c r="B10" s="18"/>
      <c r="C10" s="123" t="s">
        <v>60</v>
      </c>
      <c r="D10" s="96" t="s">
        <v>25</v>
      </c>
      <c r="E10" s="86">
        <v>34270.980000000003</v>
      </c>
      <c r="F10" s="87"/>
      <c r="G10" s="88">
        <v>3895.56</v>
      </c>
      <c r="H10" s="88">
        <v>129802.88</v>
      </c>
      <c r="I10" s="88"/>
      <c r="J10" s="88"/>
      <c r="K10" s="87"/>
      <c r="L10" s="28"/>
      <c r="M10" s="28"/>
      <c r="N10" s="48"/>
      <c r="O10" s="48"/>
      <c r="P10" s="173">
        <v>0</v>
      </c>
      <c r="Q10" s="48"/>
      <c r="R10" s="49"/>
      <c r="S10" s="50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</row>
    <row r="11" spans="1:400" x14ac:dyDescent="0.25">
      <c r="A11" s="15"/>
      <c r="B11" s="16"/>
      <c r="C11" s="116" t="s">
        <v>60</v>
      </c>
      <c r="D11" s="97">
        <v>2013</v>
      </c>
      <c r="E11" s="83">
        <v>16458.28</v>
      </c>
      <c r="F11" s="84"/>
      <c r="G11" s="118">
        <v>52177</v>
      </c>
      <c r="H11" s="118">
        <v>194930.55</v>
      </c>
      <c r="I11" s="85"/>
      <c r="J11" s="85"/>
      <c r="K11" s="84"/>
      <c r="L11" s="34"/>
      <c r="M11" s="34"/>
      <c r="N11" s="45"/>
      <c r="O11" s="45"/>
      <c r="P11" s="81">
        <v>0</v>
      </c>
      <c r="Q11" s="45"/>
      <c r="R11" s="46"/>
      <c r="S11" s="51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</row>
    <row r="12" spans="1:400" s="1" customFormat="1" ht="25.5" x14ac:dyDescent="0.25">
      <c r="A12" s="17"/>
      <c r="B12" s="18"/>
      <c r="C12" s="123" t="s">
        <v>60</v>
      </c>
      <c r="D12" s="96" t="s">
        <v>23</v>
      </c>
      <c r="E12" s="86">
        <v>50729.26</v>
      </c>
      <c r="F12" s="87"/>
      <c r="G12" s="88">
        <v>56072.56</v>
      </c>
      <c r="H12" s="88">
        <v>324733.43</v>
      </c>
      <c r="I12" s="88"/>
      <c r="J12" s="88"/>
      <c r="K12" s="87"/>
      <c r="L12" s="28"/>
      <c r="M12" s="28"/>
      <c r="N12" s="48"/>
      <c r="O12" s="48"/>
      <c r="P12" s="173">
        <v>0</v>
      </c>
      <c r="Q12" s="48"/>
      <c r="R12" s="49"/>
      <c r="S12" s="50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</row>
    <row r="13" spans="1:400" x14ac:dyDescent="0.25">
      <c r="A13" s="15"/>
      <c r="B13" s="16"/>
      <c r="C13" s="116" t="s">
        <v>60</v>
      </c>
      <c r="D13" s="97">
        <v>2014</v>
      </c>
      <c r="E13" s="83">
        <v>11115.12</v>
      </c>
      <c r="F13" s="84"/>
      <c r="G13" s="118">
        <v>36254.879999999997</v>
      </c>
      <c r="H13" s="118">
        <v>385533.99</v>
      </c>
      <c r="I13" s="85"/>
      <c r="J13" s="85"/>
      <c r="K13" s="84"/>
      <c r="L13" s="34"/>
      <c r="M13" s="34"/>
      <c r="N13" s="45"/>
      <c r="O13" s="45"/>
      <c r="P13" s="81">
        <v>0</v>
      </c>
      <c r="Q13" s="45"/>
      <c r="R13" s="46"/>
      <c r="S13" s="47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</row>
    <row r="14" spans="1:400" s="1" customFormat="1" ht="41.25" customHeight="1" x14ac:dyDescent="0.25">
      <c r="A14" s="17"/>
      <c r="B14" s="18"/>
      <c r="C14" s="123" t="s">
        <v>60</v>
      </c>
      <c r="D14" s="96" t="s">
        <v>24</v>
      </c>
      <c r="E14" s="89">
        <v>61844.38</v>
      </c>
      <c r="F14" s="87"/>
      <c r="G14" s="87">
        <f>SUM(G12+G13)</f>
        <v>92327.44</v>
      </c>
      <c r="H14" s="87">
        <f t="shared" ref="H14" si="0">SUM(H12+H13)</f>
        <v>710267.41999999993</v>
      </c>
      <c r="I14" s="87"/>
      <c r="J14" s="87"/>
      <c r="K14" s="87"/>
      <c r="L14" s="28"/>
      <c r="M14" s="28"/>
      <c r="N14" s="48"/>
      <c r="O14" s="48"/>
      <c r="P14" s="173">
        <v>0</v>
      </c>
      <c r="Q14" s="48"/>
      <c r="R14" s="49"/>
      <c r="S14" s="50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</row>
    <row r="15" spans="1:400" x14ac:dyDescent="0.25">
      <c r="A15" s="15"/>
      <c r="B15" s="16"/>
      <c r="C15" s="189" t="s">
        <v>60</v>
      </c>
      <c r="D15" s="98">
        <v>2015</v>
      </c>
      <c r="E15" s="90">
        <v>11202.05</v>
      </c>
      <c r="F15" s="84">
        <v>2.64</v>
      </c>
      <c r="G15" s="118">
        <f>E15*F15</f>
        <v>29573.412</v>
      </c>
      <c r="H15" s="118">
        <v>313657.51</v>
      </c>
      <c r="I15" s="85"/>
      <c r="J15" s="85"/>
      <c r="K15" s="84"/>
      <c r="L15" s="34"/>
      <c r="M15" s="34"/>
      <c r="N15" s="45"/>
      <c r="O15" s="45"/>
      <c r="P15" s="92">
        <v>470394.5</v>
      </c>
      <c r="Q15" s="45"/>
      <c r="R15" s="46"/>
      <c r="S15" s="47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</row>
    <row r="16" spans="1:400" x14ac:dyDescent="0.25">
      <c r="A16" s="15"/>
      <c r="B16" s="16"/>
      <c r="C16" s="174" t="s">
        <v>27</v>
      </c>
      <c r="D16" s="98">
        <v>2015</v>
      </c>
      <c r="E16" s="91">
        <v>112.94</v>
      </c>
      <c r="F16" s="84">
        <v>2.64</v>
      </c>
      <c r="G16" s="118">
        <f>E16*F16</f>
        <v>298.16160000000002</v>
      </c>
      <c r="H16" s="106">
        <v>3162.32</v>
      </c>
      <c r="I16" s="92"/>
      <c r="J16" s="92"/>
      <c r="K16" s="84"/>
      <c r="L16" s="34"/>
      <c r="M16" s="34"/>
      <c r="N16" s="45"/>
      <c r="O16" s="45"/>
      <c r="P16" s="92"/>
      <c r="Q16" s="45"/>
      <c r="R16" s="46"/>
      <c r="S16" s="47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</row>
    <row r="17" spans="1:400" ht="38.25" x14ac:dyDescent="0.25">
      <c r="A17" s="15"/>
      <c r="B17" s="16"/>
      <c r="C17" s="101" t="s">
        <v>37</v>
      </c>
      <c r="D17" s="98">
        <v>2015</v>
      </c>
      <c r="E17" s="91">
        <v>200.46</v>
      </c>
      <c r="F17" s="84">
        <v>0</v>
      </c>
      <c r="G17" s="106">
        <v>0</v>
      </c>
      <c r="H17" s="106">
        <v>0</v>
      </c>
      <c r="I17" s="92"/>
      <c r="J17" s="92"/>
      <c r="K17" s="84"/>
      <c r="L17" s="34"/>
      <c r="M17" s="34"/>
      <c r="N17" s="45"/>
      <c r="O17" s="45"/>
      <c r="P17" s="92"/>
      <c r="Q17" s="45"/>
      <c r="R17" s="46"/>
      <c r="S17" s="47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</row>
    <row r="18" spans="1:400" s="1" customFormat="1" ht="45" customHeight="1" x14ac:dyDescent="0.25">
      <c r="A18" s="17"/>
      <c r="B18" s="18"/>
      <c r="C18" s="123" t="s">
        <v>60</v>
      </c>
      <c r="D18" s="96" t="s">
        <v>26</v>
      </c>
      <c r="E18" s="89">
        <v>73359.83</v>
      </c>
      <c r="F18" s="87"/>
      <c r="G18" s="87">
        <f>SUM(G14:G17)</f>
        <v>122199.01360000001</v>
      </c>
      <c r="H18" s="87">
        <f t="shared" ref="H18" si="1">SUM(H14:H17)</f>
        <v>1027087.2499999999</v>
      </c>
      <c r="I18" s="87"/>
      <c r="J18" s="87"/>
      <c r="K18" s="87"/>
      <c r="L18" s="28"/>
      <c r="M18" s="28"/>
      <c r="N18" s="48"/>
      <c r="O18" s="48"/>
      <c r="P18" s="105">
        <v>470394.5</v>
      </c>
      <c r="Q18" s="48"/>
      <c r="R18" s="49"/>
      <c r="S18" s="50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</row>
    <row r="19" spans="1:400" s="2" customFormat="1" x14ac:dyDescent="0.25">
      <c r="A19" s="19"/>
      <c r="B19" s="20"/>
      <c r="C19" s="116" t="s">
        <v>60</v>
      </c>
      <c r="D19" s="99" t="s">
        <v>29</v>
      </c>
      <c r="E19" s="93">
        <v>3133.424</v>
      </c>
      <c r="F19" s="94">
        <v>5.91</v>
      </c>
      <c r="G19" s="94">
        <f>E19*F19</f>
        <v>18518.53584</v>
      </c>
      <c r="H19" s="94">
        <v>112803.264</v>
      </c>
      <c r="I19" s="94"/>
      <c r="J19" s="94"/>
      <c r="K19" s="94"/>
      <c r="L19" s="29"/>
      <c r="M19" s="29"/>
      <c r="N19" s="30"/>
      <c r="O19" s="30"/>
      <c r="P19" s="94">
        <v>0</v>
      </c>
      <c r="Q19" s="30"/>
      <c r="R19" s="52"/>
      <c r="S19" s="47"/>
    </row>
    <row r="20" spans="1:400" s="2" customFormat="1" x14ac:dyDescent="0.25">
      <c r="A20" s="19"/>
      <c r="B20" s="20"/>
      <c r="C20" s="116" t="s">
        <v>27</v>
      </c>
      <c r="D20" s="99" t="s">
        <v>29</v>
      </c>
      <c r="E20" s="93">
        <v>26.44</v>
      </c>
      <c r="F20" s="94">
        <v>5.91</v>
      </c>
      <c r="G20" s="94">
        <f>E20*F20</f>
        <v>156.2604</v>
      </c>
      <c r="H20" s="94">
        <v>951.84</v>
      </c>
      <c r="I20" s="94"/>
      <c r="J20" s="94"/>
      <c r="K20" s="94"/>
      <c r="L20" s="29"/>
      <c r="M20" s="29"/>
      <c r="N20" s="30"/>
      <c r="O20" s="30"/>
      <c r="P20" s="94"/>
      <c r="Q20" s="30"/>
      <c r="R20" s="52"/>
      <c r="S20" s="47"/>
    </row>
    <row r="21" spans="1:400" s="2" customFormat="1" ht="75.75" customHeight="1" x14ac:dyDescent="0.25">
      <c r="A21" s="19"/>
      <c r="B21" s="20"/>
      <c r="C21" s="21" t="s">
        <v>28</v>
      </c>
      <c r="D21" s="40"/>
      <c r="E21" s="93"/>
      <c r="F21" s="94"/>
      <c r="G21" s="106">
        <v>-16969.7</v>
      </c>
      <c r="H21" s="106">
        <v>16969.7</v>
      </c>
      <c r="I21" s="92"/>
      <c r="J21" s="92"/>
      <c r="K21" s="95"/>
      <c r="L21" s="29"/>
      <c r="M21" s="29"/>
      <c r="N21" s="30"/>
      <c r="O21" s="30"/>
      <c r="P21" s="94"/>
      <c r="Q21" s="30"/>
      <c r="R21" s="52"/>
      <c r="S21" s="47"/>
    </row>
    <row r="22" spans="1:400" s="2" customFormat="1" ht="38.25" x14ac:dyDescent="0.25">
      <c r="A22" s="17"/>
      <c r="B22" s="18"/>
      <c r="C22" s="123" t="s">
        <v>60</v>
      </c>
      <c r="D22" s="100" t="s">
        <v>30</v>
      </c>
      <c r="E22" s="89">
        <v>76519.694000000003</v>
      </c>
      <c r="F22" s="28"/>
      <c r="G22" s="87">
        <f>SUM(G18:G21)</f>
        <v>123904.10984</v>
      </c>
      <c r="H22" s="87">
        <f t="shared" ref="H22" si="2">SUM(H18:H21)</f>
        <v>1157812.054</v>
      </c>
      <c r="I22" s="87"/>
      <c r="J22" s="87"/>
      <c r="K22" s="87"/>
      <c r="L22" s="28"/>
      <c r="M22" s="28"/>
      <c r="N22" s="48"/>
      <c r="O22" s="48"/>
      <c r="P22" s="105">
        <v>470394.5</v>
      </c>
      <c r="Q22" s="48"/>
      <c r="R22" s="49"/>
      <c r="S22" s="50"/>
    </row>
    <row r="23" spans="1:400" s="2" customFormat="1" x14ac:dyDescent="0.25">
      <c r="A23" s="19"/>
      <c r="B23" s="20"/>
      <c r="C23" s="116" t="s">
        <v>60</v>
      </c>
      <c r="D23" s="99" t="s">
        <v>31</v>
      </c>
      <c r="E23" s="93">
        <v>3282.2370000000001</v>
      </c>
      <c r="F23" s="94">
        <v>5.91</v>
      </c>
      <c r="G23" s="94">
        <f>E23*F23</f>
        <v>19398.020670000002</v>
      </c>
      <c r="H23" s="94">
        <v>118160.53200000001</v>
      </c>
      <c r="I23" s="94"/>
      <c r="J23" s="94"/>
      <c r="K23" s="94"/>
      <c r="L23" s="94"/>
      <c r="M23" s="94"/>
      <c r="N23" s="95"/>
      <c r="O23" s="95"/>
      <c r="P23" s="94">
        <v>0</v>
      </c>
      <c r="Q23" s="30"/>
      <c r="R23" s="52"/>
      <c r="S23" s="47"/>
    </row>
    <row r="24" spans="1:400" s="2" customFormat="1" x14ac:dyDescent="0.25">
      <c r="A24" s="19"/>
      <c r="B24" s="20"/>
      <c r="C24" s="116" t="s">
        <v>27</v>
      </c>
      <c r="D24" s="99" t="s">
        <v>31</v>
      </c>
      <c r="E24" s="93">
        <v>165.78</v>
      </c>
      <c r="F24" s="94">
        <v>5.91</v>
      </c>
      <c r="G24" s="94">
        <f>E24*F24</f>
        <v>979.75980000000004</v>
      </c>
      <c r="H24" s="94">
        <v>5968.08</v>
      </c>
      <c r="I24" s="94"/>
      <c r="J24" s="94"/>
      <c r="K24" s="94"/>
      <c r="L24" s="94"/>
      <c r="M24" s="94"/>
      <c r="N24" s="95"/>
      <c r="O24" s="95"/>
      <c r="P24" s="94"/>
      <c r="Q24" s="30"/>
      <c r="R24" s="52"/>
      <c r="S24" s="47"/>
    </row>
    <row r="25" spans="1:400" s="2" customFormat="1" ht="38.25" x14ac:dyDescent="0.25">
      <c r="A25" s="19"/>
      <c r="B25" s="20"/>
      <c r="C25" s="101" t="s">
        <v>37</v>
      </c>
      <c r="D25" s="99"/>
      <c r="E25" s="93">
        <v>0.74</v>
      </c>
      <c r="F25" s="94">
        <v>0</v>
      </c>
      <c r="G25" s="94">
        <v>0</v>
      </c>
      <c r="H25" s="94">
        <v>0</v>
      </c>
      <c r="I25" s="94"/>
      <c r="J25" s="94"/>
      <c r="K25" s="94"/>
      <c r="L25" s="94"/>
      <c r="M25" s="94"/>
      <c r="N25" s="95"/>
      <c r="O25" s="95"/>
      <c r="P25" s="94"/>
      <c r="Q25" s="30"/>
      <c r="R25" s="52"/>
      <c r="S25" s="47"/>
    </row>
    <row r="26" spans="1:400" s="2" customFormat="1" ht="39" customHeight="1" x14ac:dyDescent="0.25">
      <c r="A26" s="17"/>
      <c r="B26" s="18"/>
      <c r="C26" s="123" t="s">
        <v>60</v>
      </c>
      <c r="D26" s="100" t="s">
        <v>32</v>
      </c>
      <c r="E26" s="89">
        <v>79968.451000000001</v>
      </c>
      <c r="F26" s="87"/>
      <c r="G26" s="87">
        <f>SUM(G22:G25)</f>
        <v>144281.89031000002</v>
      </c>
      <c r="H26" s="87">
        <f t="shared" ref="H26" si="3">SUM(H22:H25)</f>
        <v>1281940.6660000002</v>
      </c>
      <c r="I26" s="87"/>
      <c r="J26" s="87"/>
      <c r="K26" s="87"/>
      <c r="L26" s="28"/>
      <c r="M26" s="28"/>
      <c r="N26" s="48"/>
      <c r="O26" s="48"/>
      <c r="P26" s="105">
        <v>470394.5</v>
      </c>
      <c r="Q26" s="48"/>
      <c r="R26" s="49"/>
      <c r="S26" s="50"/>
    </row>
    <row r="27" spans="1:400" s="2" customFormat="1" x14ac:dyDescent="0.25">
      <c r="A27" s="19"/>
      <c r="B27" s="20"/>
      <c r="C27" s="116" t="s">
        <v>60</v>
      </c>
      <c r="D27" s="99" t="s">
        <v>33</v>
      </c>
      <c r="E27" s="93">
        <v>3236.6509999999998</v>
      </c>
      <c r="F27" s="94">
        <v>5.91</v>
      </c>
      <c r="G27" s="94">
        <f>E27*F27</f>
        <v>19128.607410000001</v>
      </c>
      <c r="H27" s="94">
        <v>116519.436</v>
      </c>
      <c r="I27" s="94"/>
      <c r="J27" s="94"/>
      <c r="K27" s="94"/>
      <c r="L27" s="29"/>
      <c r="M27" s="29"/>
      <c r="N27" s="30"/>
      <c r="O27" s="30"/>
      <c r="P27" s="94">
        <v>0</v>
      </c>
      <c r="Q27" s="30"/>
      <c r="R27" s="52"/>
      <c r="S27" s="47"/>
    </row>
    <row r="28" spans="1:400" s="2" customFormat="1" x14ac:dyDescent="0.25">
      <c r="A28" s="19"/>
      <c r="B28" s="20"/>
      <c r="C28" s="116" t="s">
        <v>27</v>
      </c>
      <c r="D28" s="99" t="s">
        <v>33</v>
      </c>
      <c r="E28" s="93">
        <v>128.13999999999999</v>
      </c>
      <c r="F28" s="94">
        <v>5.91</v>
      </c>
      <c r="G28" s="94">
        <f>E28*F28</f>
        <v>757.30739999999992</v>
      </c>
      <c r="H28" s="94">
        <v>4613.04</v>
      </c>
      <c r="I28" s="94"/>
      <c r="J28" s="94"/>
      <c r="K28" s="94"/>
      <c r="L28" s="29"/>
      <c r="M28" s="29"/>
      <c r="N28" s="30"/>
      <c r="O28" s="30"/>
      <c r="P28" s="94"/>
      <c r="Q28" s="30"/>
      <c r="R28" s="52"/>
      <c r="S28" s="47"/>
    </row>
    <row r="29" spans="1:400" s="2" customFormat="1" ht="38.25" x14ac:dyDescent="0.25">
      <c r="A29" s="17"/>
      <c r="B29" s="18"/>
      <c r="C29" s="123" t="s">
        <v>60</v>
      </c>
      <c r="D29" s="100" t="s">
        <v>35</v>
      </c>
      <c r="E29" s="89">
        <v>83333.241999999998</v>
      </c>
      <c r="F29" s="89"/>
      <c r="G29" s="87">
        <f>SUM(G26:G28)</f>
        <v>164167.80512</v>
      </c>
      <c r="H29" s="87">
        <f t="shared" ref="H29" si="4">SUM(H26:H28)</f>
        <v>1403073.1420000002</v>
      </c>
      <c r="I29" s="87"/>
      <c r="J29" s="87"/>
      <c r="K29" s="87"/>
      <c r="L29" s="87"/>
      <c r="M29" s="87"/>
      <c r="N29" s="48"/>
      <c r="O29" s="48"/>
      <c r="P29" s="105">
        <v>470394.5</v>
      </c>
      <c r="Q29" s="48"/>
      <c r="R29" s="49"/>
      <c r="S29" s="50"/>
    </row>
    <row r="30" spans="1:400" s="2" customFormat="1" x14ac:dyDescent="0.25">
      <c r="A30" s="19"/>
      <c r="B30" s="20"/>
      <c r="C30" s="116" t="s">
        <v>60</v>
      </c>
      <c r="D30" s="99" t="s">
        <v>34</v>
      </c>
      <c r="E30" s="93">
        <v>3172.5329999999999</v>
      </c>
      <c r="F30" s="94">
        <v>5.91</v>
      </c>
      <c r="G30" s="94">
        <f>E30*F30</f>
        <v>18749.670030000001</v>
      </c>
      <c r="H30" s="94">
        <v>114211.18799999999</v>
      </c>
      <c r="I30" s="94"/>
      <c r="J30" s="94"/>
      <c r="K30" s="94"/>
      <c r="L30" s="94"/>
      <c r="M30" s="94"/>
      <c r="N30" s="30"/>
      <c r="O30" s="30"/>
      <c r="P30" s="94">
        <v>0</v>
      </c>
      <c r="Q30" s="30"/>
      <c r="R30" s="52"/>
      <c r="S30" s="47"/>
    </row>
    <row r="31" spans="1:400" s="2" customFormat="1" x14ac:dyDescent="0.25">
      <c r="A31" s="19"/>
      <c r="B31" s="20"/>
      <c r="C31" s="116" t="s">
        <v>27</v>
      </c>
      <c r="D31" s="99" t="s">
        <v>34</v>
      </c>
      <c r="E31" s="93">
        <v>169.53</v>
      </c>
      <c r="F31" s="94">
        <v>5.91</v>
      </c>
      <c r="G31" s="94">
        <f>E31*F31</f>
        <v>1001.9223000000001</v>
      </c>
      <c r="H31" s="94">
        <v>6103.08</v>
      </c>
      <c r="I31" s="94"/>
      <c r="J31" s="94"/>
      <c r="K31" s="94"/>
      <c r="L31" s="94"/>
      <c r="M31" s="94"/>
      <c r="N31" s="30"/>
      <c r="O31" s="30"/>
      <c r="P31" s="94"/>
      <c r="Q31" s="30"/>
      <c r="R31" s="52"/>
      <c r="S31" s="47"/>
    </row>
    <row r="32" spans="1:400" s="2" customFormat="1" ht="38.25" x14ac:dyDescent="0.25">
      <c r="A32" s="17"/>
      <c r="B32" s="18"/>
      <c r="C32" s="123" t="s">
        <v>60</v>
      </c>
      <c r="D32" s="100" t="s">
        <v>36</v>
      </c>
      <c r="E32" s="89">
        <v>86675.304999999993</v>
      </c>
      <c r="F32" s="89"/>
      <c r="G32" s="87">
        <f>SUM(G29:G31)</f>
        <v>183919.39745000002</v>
      </c>
      <c r="H32" s="87">
        <f t="shared" ref="H32" si="5">SUM(H29:H31)</f>
        <v>1523387.4100000004</v>
      </c>
      <c r="I32" s="87"/>
      <c r="J32" s="87"/>
      <c r="K32" s="87"/>
      <c r="L32" s="87"/>
      <c r="M32" s="87"/>
      <c r="N32" s="48"/>
      <c r="O32" s="48"/>
      <c r="P32" s="105">
        <v>470394.5</v>
      </c>
      <c r="Q32" s="48"/>
      <c r="R32" s="49"/>
      <c r="S32" s="50"/>
    </row>
    <row r="33" spans="1:19" s="2" customFormat="1" x14ac:dyDescent="0.25">
      <c r="A33" s="19"/>
      <c r="B33" s="20"/>
      <c r="C33" s="116" t="s">
        <v>60</v>
      </c>
      <c r="D33" s="99" t="s">
        <v>57</v>
      </c>
      <c r="E33" s="93">
        <v>2709.6759999999999</v>
      </c>
      <c r="F33" s="94">
        <v>5.91</v>
      </c>
      <c r="G33" s="94">
        <v>18794.61</v>
      </c>
      <c r="H33" s="94">
        <v>123857.04</v>
      </c>
      <c r="I33" s="94"/>
      <c r="J33" s="94"/>
      <c r="K33" s="94"/>
      <c r="L33" s="191"/>
      <c r="M33" s="94"/>
      <c r="N33" s="30"/>
      <c r="O33" s="30"/>
      <c r="P33" s="106">
        <v>0</v>
      </c>
      <c r="Q33" s="30"/>
      <c r="R33" s="52"/>
      <c r="S33" s="47"/>
    </row>
    <row r="34" spans="1:19" s="2" customFormat="1" x14ac:dyDescent="0.25">
      <c r="A34" s="19"/>
      <c r="B34" s="20"/>
      <c r="C34" s="116" t="s">
        <v>27</v>
      </c>
      <c r="D34" s="99" t="s">
        <v>57</v>
      </c>
      <c r="E34" s="93">
        <v>94</v>
      </c>
      <c r="F34" s="94">
        <v>5.91</v>
      </c>
      <c r="G34" s="94">
        <f>E34*F34</f>
        <v>555.54</v>
      </c>
      <c r="H34" s="94">
        <v>3760</v>
      </c>
      <c r="I34" s="94"/>
      <c r="J34" s="94"/>
      <c r="K34" s="94"/>
      <c r="L34" s="94"/>
      <c r="M34" s="94"/>
      <c r="N34" s="30"/>
      <c r="O34" s="30"/>
      <c r="P34" s="106"/>
      <c r="Q34" s="30"/>
      <c r="R34" s="52"/>
      <c r="S34" s="47"/>
    </row>
    <row r="35" spans="1:19" s="2" customFormat="1" ht="38.25" x14ac:dyDescent="0.25">
      <c r="A35" s="17"/>
      <c r="B35" s="18"/>
      <c r="C35" s="123" t="s">
        <v>60</v>
      </c>
      <c r="D35" s="100" t="s">
        <v>58</v>
      </c>
      <c r="E35" s="89">
        <v>89478.981</v>
      </c>
      <c r="F35" s="89"/>
      <c r="G35" s="87">
        <f>SUM(G32:G34)</f>
        <v>203269.54745000004</v>
      </c>
      <c r="H35" s="87">
        <f t="shared" ref="H35" si="6">SUM(H32:H34)</f>
        <v>1651004.4500000004</v>
      </c>
      <c r="I35" s="87"/>
      <c r="J35" s="87"/>
      <c r="K35" s="87"/>
      <c r="L35" s="87"/>
      <c r="M35" s="87"/>
      <c r="N35" s="48"/>
      <c r="O35" s="48"/>
      <c r="P35" s="105">
        <v>470394.5</v>
      </c>
      <c r="Q35" s="48"/>
      <c r="R35" s="49"/>
      <c r="S35" s="50"/>
    </row>
    <row r="36" spans="1:19" s="2" customFormat="1" x14ac:dyDescent="0.25">
      <c r="A36" s="19"/>
      <c r="B36" s="20"/>
      <c r="C36" s="116" t="s">
        <v>60</v>
      </c>
      <c r="D36" s="99" t="s">
        <v>61</v>
      </c>
      <c r="E36" s="93">
        <v>3327.2719999999999</v>
      </c>
      <c r="F36" s="94">
        <v>5.91</v>
      </c>
      <c r="G36" s="94">
        <f>E36*F36</f>
        <v>19664.177520000001</v>
      </c>
      <c r="H36" s="94">
        <v>133090.88</v>
      </c>
      <c r="I36" s="94"/>
      <c r="J36" s="94"/>
      <c r="K36" s="94"/>
      <c r="L36" s="94"/>
      <c r="M36" s="94"/>
      <c r="N36" s="30"/>
      <c r="O36" s="30"/>
      <c r="P36" s="106">
        <v>0</v>
      </c>
      <c r="Q36" s="30"/>
      <c r="R36" s="52"/>
      <c r="S36" s="47"/>
    </row>
    <row r="37" spans="1:19" s="2" customFormat="1" x14ac:dyDescent="0.25">
      <c r="A37" s="19"/>
      <c r="B37" s="20"/>
      <c r="C37" s="102" t="s">
        <v>27</v>
      </c>
      <c r="D37" s="99" t="s">
        <v>61</v>
      </c>
      <c r="E37" s="93">
        <v>131.22</v>
      </c>
      <c r="F37" s="94">
        <v>5.91</v>
      </c>
      <c r="G37" s="94">
        <f>E37*F37</f>
        <v>775.51020000000005</v>
      </c>
      <c r="H37" s="94">
        <v>5248.8</v>
      </c>
      <c r="I37" s="94"/>
      <c r="J37" s="94"/>
      <c r="K37" s="94"/>
      <c r="L37" s="94"/>
      <c r="M37" s="94"/>
      <c r="N37" s="30"/>
      <c r="O37" s="30"/>
      <c r="P37" s="106"/>
      <c r="Q37" s="30"/>
      <c r="R37" s="52"/>
      <c r="S37" s="47"/>
    </row>
    <row r="38" spans="1:19" s="2" customFormat="1" ht="38.25" x14ac:dyDescent="0.25">
      <c r="A38" s="17"/>
      <c r="B38" s="18"/>
      <c r="C38" s="103" t="s">
        <v>60</v>
      </c>
      <c r="D38" s="100" t="s">
        <v>63</v>
      </c>
      <c r="E38" s="89">
        <v>92937.472999999998</v>
      </c>
      <c r="F38" s="27"/>
      <c r="G38" s="87">
        <f>SUM(G35:G37)</f>
        <v>223709.23517000003</v>
      </c>
      <c r="H38" s="87">
        <f t="shared" ref="H38" si="7">SUM(H35:H37)</f>
        <v>1789344.1300000006</v>
      </c>
      <c r="I38" s="87"/>
      <c r="J38" s="87"/>
      <c r="K38" s="87"/>
      <c r="L38" s="28"/>
      <c r="M38" s="28"/>
      <c r="N38" s="48"/>
      <c r="O38" s="48"/>
      <c r="P38" s="105">
        <v>470394.5</v>
      </c>
      <c r="Q38" s="48"/>
      <c r="R38" s="49"/>
      <c r="S38" s="50"/>
    </row>
    <row r="39" spans="1:19" s="2" customFormat="1" x14ac:dyDescent="0.25">
      <c r="A39" s="19"/>
      <c r="B39" s="20"/>
      <c r="C39" s="102" t="s">
        <v>60</v>
      </c>
      <c r="D39" s="99" t="s">
        <v>64</v>
      </c>
      <c r="E39" s="93">
        <v>4103.95</v>
      </c>
      <c r="F39" s="94">
        <v>5.91</v>
      </c>
      <c r="G39" s="94">
        <f>E39*F39</f>
        <v>24254.344499999999</v>
      </c>
      <c r="H39" s="94">
        <v>164158</v>
      </c>
      <c r="I39" s="94"/>
      <c r="J39" s="94"/>
      <c r="K39" s="94"/>
      <c r="L39" s="29"/>
      <c r="M39" s="29"/>
      <c r="N39" s="30"/>
      <c r="O39" s="30"/>
      <c r="P39" s="106">
        <v>298929.59999999998</v>
      </c>
      <c r="Q39" s="30"/>
      <c r="R39" s="52"/>
      <c r="S39" s="47"/>
    </row>
    <row r="40" spans="1:19" s="2" customFormat="1" ht="41.25" customHeight="1" x14ac:dyDescent="0.25">
      <c r="A40" s="19"/>
      <c r="B40" s="20"/>
      <c r="C40" s="102" t="s">
        <v>37</v>
      </c>
      <c r="D40" s="104"/>
      <c r="E40" s="93">
        <v>84.14</v>
      </c>
      <c r="F40" s="94">
        <v>0</v>
      </c>
      <c r="G40" s="94">
        <f t="shared" ref="G40:G41" si="8">E40*F40</f>
        <v>0</v>
      </c>
      <c r="H40" s="94">
        <v>0</v>
      </c>
      <c r="I40" s="94"/>
      <c r="J40" s="94"/>
      <c r="K40" s="94"/>
      <c r="L40" s="29"/>
      <c r="M40" s="29"/>
      <c r="N40" s="30"/>
      <c r="O40" s="30"/>
      <c r="P40" s="106"/>
      <c r="Q40" s="30"/>
      <c r="R40" s="52"/>
      <c r="S40" s="47"/>
    </row>
    <row r="41" spans="1:19" s="2" customFormat="1" x14ac:dyDescent="0.25">
      <c r="A41" s="19"/>
      <c r="B41" s="20"/>
      <c r="C41" s="102" t="s">
        <v>27</v>
      </c>
      <c r="D41" s="99" t="s">
        <v>64</v>
      </c>
      <c r="E41" s="93">
        <v>113.681</v>
      </c>
      <c r="F41" s="94">
        <v>5.91</v>
      </c>
      <c r="G41" s="94">
        <f t="shared" si="8"/>
        <v>671.85470999999995</v>
      </c>
      <c r="H41" s="94">
        <v>4547.24</v>
      </c>
      <c r="I41" s="94"/>
      <c r="J41" s="94"/>
      <c r="K41" s="94"/>
      <c r="L41" s="29"/>
      <c r="M41" s="29"/>
      <c r="N41" s="30"/>
      <c r="O41" s="30"/>
      <c r="P41" s="106"/>
      <c r="Q41" s="30"/>
      <c r="R41" s="52"/>
      <c r="S41" s="47"/>
    </row>
    <row r="42" spans="1:19" s="2" customFormat="1" ht="40.5" customHeight="1" x14ac:dyDescent="0.25">
      <c r="A42" s="17"/>
      <c r="B42" s="18"/>
      <c r="C42" s="110" t="s">
        <v>60</v>
      </c>
      <c r="D42" s="113" t="s">
        <v>65</v>
      </c>
      <c r="E42" s="89">
        <v>97239.244000000006</v>
      </c>
      <c r="F42" s="111"/>
      <c r="G42" s="87">
        <f>SUM(G38:G41)</f>
        <v>248635.43438000005</v>
      </c>
      <c r="H42" s="87">
        <f t="shared" ref="H42" si="9">SUM(H38:H41)</f>
        <v>1958049.3700000006</v>
      </c>
      <c r="I42" s="87"/>
      <c r="J42" s="87"/>
      <c r="K42" s="87"/>
      <c r="L42" s="112"/>
      <c r="M42" s="112"/>
      <c r="N42" s="76"/>
      <c r="O42" s="76"/>
      <c r="P42" s="105">
        <v>769324.1</v>
      </c>
      <c r="Q42" s="76"/>
      <c r="R42" s="49"/>
      <c r="S42" s="50"/>
    </row>
    <row r="43" spans="1:19" s="2" customFormat="1" x14ac:dyDescent="0.25">
      <c r="A43" s="19"/>
      <c r="B43" s="20"/>
      <c r="C43" s="175" t="s">
        <v>60</v>
      </c>
      <c r="D43" s="99" t="s">
        <v>70</v>
      </c>
      <c r="E43" s="93">
        <v>3514.6849999999999</v>
      </c>
      <c r="F43" s="94">
        <v>5.91</v>
      </c>
      <c r="G43" s="94">
        <v>18849.740000000002</v>
      </c>
      <c r="H43" s="94">
        <v>127578.6</v>
      </c>
      <c r="I43" s="106"/>
      <c r="J43" s="94"/>
      <c r="K43" s="94"/>
      <c r="L43" s="176"/>
      <c r="M43" s="176"/>
      <c r="N43" s="73"/>
      <c r="O43" s="73"/>
      <c r="P43" s="106">
        <v>0</v>
      </c>
      <c r="Q43" s="73"/>
      <c r="R43" s="52"/>
      <c r="S43" s="47"/>
    </row>
    <row r="44" spans="1:19" s="2" customFormat="1" x14ac:dyDescent="0.25">
      <c r="A44" s="19"/>
      <c r="B44" s="20"/>
      <c r="C44" s="175" t="s">
        <v>27</v>
      </c>
      <c r="D44" s="99" t="s">
        <v>70</v>
      </c>
      <c r="E44" s="93">
        <v>214.9</v>
      </c>
      <c r="F44" s="94">
        <v>5.91</v>
      </c>
      <c r="G44" s="94">
        <f>SUM(E44*F44)</f>
        <v>1270.059</v>
      </c>
      <c r="H44" s="94">
        <f>SUM(E44*40)</f>
        <v>8596</v>
      </c>
      <c r="I44" s="94"/>
      <c r="J44" s="94"/>
      <c r="K44" s="94"/>
      <c r="L44" s="176"/>
      <c r="M44" s="176"/>
      <c r="N44" s="73"/>
      <c r="O44" s="73"/>
      <c r="P44" s="177"/>
      <c r="Q44" s="73"/>
      <c r="R44" s="52"/>
      <c r="S44" s="47"/>
    </row>
    <row r="45" spans="1:19" s="2" customFormat="1" ht="40.5" customHeight="1" x14ac:dyDescent="0.25">
      <c r="A45" s="17"/>
      <c r="B45" s="18"/>
      <c r="C45" s="110" t="s">
        <v>60</v>
      </c>
      <c r="D45" s="113" t="s">
        <v>69</v>
      </c>
      <c r="E45" s="89">
        <f>SUM(E42:E44)</f>
        <v>100968.829</v>
      </c>
      <c r="F45" s="89"/>
      <c r="G45" s="87">
        <f t="shared" ref="G45:H45" si="10">SUM(G42:G44)</f>
        <v>268755.23338000005</v>
      </c>
      <c r="H45" s="87">
        <f t="shared" si="10"/>
        <v>2094223.9700000007</v>
      </c>
      <c r="I45" s="87"/>
      <c r="J45" s="87"/>
      <c r="K45" s="87"/>
      <c r="L45" s="112"/>
      <c r="M45" s="112"/>
      <c r="N45" s="76"/>
      <c r="O45" s="76"/>
      <c r="P45" s="105">
        <v>769324.1</v>
      </c>
      <c r="Q45" s="76"/>
      <c r="R45" s="49"/>
      <c r="S45" s="50"/>
    </row>
    <row r="46" spans="1:19" s="2" customFormat="1" ht="14.25" customHeight="1" x14ac:dyDescent="0.25">
      <c r="A46" s="19"/>
      <c r="B46" s="20"/>
      <c r="C46" s="175" t="s">
        <v>60</v>
      </c>
      <c r="D46" s="190" t="s">
        <v>71</v>
      </c>
      <c r="E46" s="93">
        <v>2695.7669999999998</v>
      </c>
      <c r="F46" s="94">
        <v>5.91</v>
      </c>
      <c r="G46" s="94">
        <v>15227.24</v>
      </c>
      <c r="H46" s="94">
        <v>115943.58</v>
      </c>
      <c r="I46" s="94"/>
      <c r="J46" s="94"/>
      <c r="K46" s="94"/>
      <c r="L46" s="176"/>
      <c r="M46" s="176"/>
      <c r="N46" s="73"/>
      <c r="O46" s="73"/>
      <c r="P46" s="106">
        <v>0</v>
      </c>
      <c r="Q46" s="73"/>
      <c r="R46" s="52"/>
      <c r="S46" s="47"/>
    </row>
    <row r="47" spans="1:19" s="2" customFormat="1" ht="15.75" customHeight="1" x14ac:dyDescent="0.25">
      <c r="A47" s="19"/>
      <c r="B47" s="20"/>
      <c r="C47" s="175" t="s">
        <v>27</v>
      </c>
      <c r="D47" s="190" t="s">
        <v>71</v>
      </c>
      <c r="E47" s="93">
        <v>118.06</v>
      </c>
      <c r="F47" s="94">
        <v>5.91</v>
      </c>
      <c r="G47" s="94">
        <v>697.73400000000004</v>
      </c>
      <c r="H47" s="94">
        <v>5312.7</v>
      </c>
      <c r="I47" s="94"/>
      <c r="J47" s="94"/>
      <c r="K47" s="94"/>
      <c r="L47" s="176"/>
      <c r="M47" s="176"/>
      <c r="N47" s="73"/>
      <c r="O47" s="73"/>
      <c r="P47" s="106"/>
      <c r="Q47" s="73"/>
      <c r="R47" s="52"/>
      <c r="S47" s="47"/>
    </row>
    <row r="48" spans="1:19" s="2" customFormat="1" ht="43.5" customHeight="1" x14ac:dyDescent="0.25">
      <c r="A48" s="17"/>
      <c r="B48" s="18"/>
      <c r="C48" s="110" t="s">
        <v>60</v>
      </c>
      <c r="D48" s="113" t="s">
        <v>72</v>
      </c>
      <c r="E48" s="89">
        <f>SUM(E45:E47)</f>
        <v>103782.65599999999</v>
      </c>
      <c r="F48" s="89"/>
      <c r="G48" s="87">
        <f t="shared" ref="G48" si="11">SUM(G45:G47)</f>
        <v>284680.20738000004</v>
      </c>
      <c r="H48" s="87">
        <f>SUM(H45:H47)</f>
        <v>2215480.2500000009</v>
      </c>
      <c r="I48" s="87"/>
      <c r="J48" s="87"/>
      <c r="K48" s="87"/>
      <c r="L48" s="112"/>
      <c r="M48" s="112"/>
      <c r="N48" s="76"/>
      <c r="O48" s="76"/>
      <c r="P48" s="105">
        <v>769324.1</v>
      </c>
      <c r="Q48" s="76"/>
      <c r="R48" s="49"/>
      <c r="S48" s="50"/>
    </row>
    <row r="49" spans="1:19" s="2" customFormat="1" ht="18" customHeight="1" x14ac:dyDescent="0.25">
      <c r="A49" s="19"/>
      <c r="B49" s="20"/>
      <c r="C49" s="175" t="s">
        <v>60</v>
      </c>
      <c r="D49" s="190" t="s">
        <v>73</v>
      </c>
      <c r="E49" s="93">
        <v>3595.9180000000001</v>
      </c>
      <c r="F49" s="94">
        <v>5.91</v>
      </c>
      <c r="G49" s="94">
        <v>21049.77</v>
      </c>
      <c r="H49" s="94">
        <v>164351.93</v>
      </c>
      <c r="I49" s="94"/>
      <c r="J49" s="94"/>
      <c r="K49" s="94"/>
      <c r="L49" s="176"/>
      <c r="M49" s="176"/>
      <c r="N49" s="73"/>
      <c r="O49" s="73"/>
      <c r="P49" s="106">
        <v>121158</v>
      </c>
      <c r="Q49" s="73"/>
      <c r="R49" s="52"/>
      <c r="S49" s="47"/>
    </row>
    <row r="50" spans="1:19" s="2" customFormat="1" ht="17.25" customHeight="1" x14ac:dyDescent="0.25">
      <c r="A50" s="19"/>
      <c r="B50" s="20"/>
      <c r="C50" s="175" t="s">
        <v>27</v>
      </c>
      <c r="D50" s="190" t="s">
        <v>73</v>
      </c>
      <c r="E50" s="93">
        <v>148.76</v>
      </c>
      <c r="F50" s="94">
        <v>5.91</v>
      </c>
      <c r="G50" s="94">
        <f>E50*F50</f>
        <v>879.17160000000001</v>
      </c>
      <c r="H50" s="94">
        <f>E50*45</f>
        <v>6694.2</v>
      </c>
      <c r="I50" s="94"/>
      <c r="J50" s="94"/>
      <c r="K50" s="94"/>
      <c r="L50" s="176"/>
      <c r="M50" s="176"/>
      <c r="N50" s="73"/>
      <c r="O50" s="73"/>
      <c r="P50" s="106">
        <v>0</v>
      </c>
      <c r="Q50" s="73"/>
      <c r="R50" s="52"/>
      <c r="S50" s="47"/>
    </row>
    <row r="51" spans="1:19" s="2" customFormat="1" ht="43.5" customHeight="1" x14ac:dyDescent="0.25">
      <c r="A51" s="17"/>
      <c r="B51" s="18"/>
      <c r="C51" s="110" t="s">
        <v>60</v>
      </c>
      <c r="D51" s="113" t="s">
        <v>74</v>
      </c>
      <c r="E51" s="89">
        <f>SUM(E48:E50)</f>
        <v>107527.33399999999</v>
      </c>
      <c r="F51" s="89"/>
      <c r="G51" s="87">
        <f t="shared" ref="G51:H51" si="12">SUM(G48:G50)</f>
        <v>306609.14898000006</v>
      </c>
      <c r="H51" s="87">
        <f t="shared" si="12"/>
        <v>2386526.3800000013</v>
      </c>
      <c r="I51" s="87"/>
      <c r="J51" s="87"/>
      <c r="K51" s="87"/>
      <c r="L51" s="112"/>
      <c r="M51" s="112"/>
      <c r="N51" s="76"/>
      <c r="O51" s="76"/>
      <c r="P51" s="105">
        <f>SUM(P48:P50)</f>
        <v>890482.1</v>
      </c>
      <c r="Q51" s="76"/>
      <c r="R51" s="49"/>
      <c r="S51" s="50"/>
    </row>
    <row r="52" spans="1:19" s="2" customFormat="1" ht="18.75" customHeight="1" x14ac:dyDescent="0.25">
      <c r="A52" s="19"/>
      <c r="B52" s="20"/>
      <c r="C52" s="175" t="s">
        <v>60</v>
      </c>
      <c r="D52" s="99" t="s">
        <v>76</v>
      </c>
      <c r="E52" s="93">
        <v>3783.8969999999999</v>
      </c>
      <c r="F52" s="94">
        <v>5.91</v>
      </c>
      <c r="G52" s="94">
        <f>E52*F52</f>
        <v>22362.831269999999</v>
      </c>
      <c r="H52" s="94">
        <f>E52*45</f>
        <v>170275.36499999999</v>
      </c>
      <c r="I52" s="94"/>
      <c r="J52" s="94"/>
      <c r="K52" s="94"/>
      <c r="L52" s="176"/>
      <c r="M52" s="176"/>
      <c r="N52" s="73"/>
      <c r="O52" s="73"/>
      <c r="P52" s="106">
        <v>0</v>
      </c>
      <c r="Q52" s="73"/>
      <c r="R52" s="52"/>
      <c r="S52" s="47"/>
    </row>
    <row r="53" spans="1:19" s="2" customFormat="1" ht="21.75" customHeight="1" x14ac:dyDescent="0.25">
      <c r="A53" s="19"/>
      <c r="B53" s="20"/>
      <c r="C53" s="175" t="s">
        <v>27</v>
      </c>
      <c r="D53" s="99" t="s">
        <v>76</v>
      </c>
      <c r="E53" s="93">
        <v>162.16</v>
      </c>
      <c r="F53" s="94">
        <v>5.91</v>
      </c>
      <c r="G53" s="94">
        <f t="shared" ref="G53" si="13">E53*F53</f>
        <v>958.36559999999997</v>
      </c>
      <c r="H53" s="94">
        <f t="shared" ref="H53" si="14">E53*45</f>
        <v>7297.2</v>
      </c>
      <c r="I53" s="94"/>
      <c r="J53" s="94"/>
      <c r="K53" s="94"/>
      <c r="L53" s="176"/>
      <c r="M53" s="176"/>
      <c r="N53" s="73"/>
      <c r="O53" s="73"/>
      <c r="P53" s="106"/>
      <c r="Q53" s="73"/>
      <c r="R53" s="52"/>
      <c r="S53" s="47"/>
    </row>
    <row r="54" spans="1:19" s="2" customFormat="1" ht="43.5" customHeight="1" x14ac:dyDescent="0.25">
      <c r="A54" s="19"/>
      <c r="B54" s="20"/>
      <c r="C54" s="175" t="s">
        <v>37</v>
      </c>
      <c r="D54" s="190"/>
      <c r="E54" s="93">
        <v>88.7</v>
      </c>
      <c r="F54" s="94">
        <v>0</v>
      </c>
      <c r="G54" s="94">
        <v>0</v>
      </c>
      <c r="H54" s="94">
        <v>0</v>
      </c>
      <c r="I54" s="94"/>
      <c r="J54" s="94"/>
      <c r="K54" s="94"/>
      <c r="L54" s="176"/>
      <c r="M54" s="176"/>
      <c r="N54" s="73"/>
      <c r="O54" s="73"/>
      <c r="P54" s="106"/>
      <c r="Q54" s="73"/>
      <c r="R54" s="52"/>
      <c r="S54" s="47"/>
    </row>
    <row r="55" spans="1:19" s="2" customFormat="1" ht="43.5" customHeight="1" x14ac:dyDescent="0.25">
      <c r="A55" s="17"/>
      <c r="B55" s="18"/>
      <c r="C55" s="110" t="s">
        <v>60</v>
      </c>
      <c r="D55" s="113" t="s">
        <v>77</v>
      </c>
      <c r="E55" s="89">
        <f>SUM(E51:E54)</f>
        <v>111562.09099999999</v>
      </c>
      <c r="F55" s="89"/>
      <c r="G55" s="87">
        <f>SUM(G51:G54)</f>
        <v>329930.3458500001</v>
      </c>
      <c r="H55" s="87">
        <f>SUM(H51:H54)</f>
        <v>2564098.9450000012</v>
      </c>
      <c r="I55" s="87"/>
      <c r="J55" s="87"/>
      <c r="K55" s="87"/>
      <c r="L55" s="112"/>
      <c r="M55" s="112"/>
      <c r="N55" s="76"/>
      <c r="O55" s="76"/>
      <c r="P55" s="105">
        <f>SUM(P51:P54)</f>
        <v>890482.1</v>
      </c>
      <c r="Q55" s="76"/>
      <c r="R55" s="49"/>
      <c r="S55" s="50"/>
    </row>
    <row r="56" spans="1:19" s="2" customFormat="1" ht="21.75" customHeight="1" x14ac:dyDescent="0.25">
      <c r="A56" s="19"/>
      <c r="B56" s="20"/>
      <c r="C56" s="175" t="s">
        <v>60</v>
      </c>
      <c r="D56" s="99" t="s">
        <v>78</v>
      </c>
      <c r="E56" s="93">
        <v>3029.567</v>
      </c>
      <c r="F56" s="94">
        <v>5.91</v>
      </c>
      <c r="G56" s="94">
        <f>E56*F56</f>
        <v>17904.740969999999</v>
      </c>
      <c r="H56" s="94">
        <f>E56*45</f>
        <v>136330.51500000001</v>
      </c>
      <c r="I56" s="94"/>
      <c r="J56" s="94"/>
      <c r="K56" s="94"/>
      <c r="L56" s="176"/>
      <c r="M56" s="176"/>
      <c r="N56" s="73"/>
      <c r="O56" s="73"/>
      <c r="P56" s="106">
        <v>15000</v>
      </c>
      <c r="Q56" s="73"/>
      <c r="R56" s="52"/>
      <c r="S56" s="47"/>
    </row>
    <row r="57" spans="1:19" s="2" customFormat="1" ht="22.5" customHeight="1" x14ac:dyDescent="0.25">
      <c r="A57" s="19"/>
      <c r="B57" s="20"/>
      <c r="C57" s="175" t="s">
        <v>27</v>
      </c>
      <c r="D57" s="99" t="s">
        <v>78</v>
      </c>
      <c r="E57" s="93">
        <v>184.92</v>
      </c>
      <c r="F57" s="94">
        <v>5.91</v>
      </c>
      <c r="G57" s="94">
        <f>E57*F57</f>
        <v>1092.8771999999999</v>
      </c>
      <c r="H57" s="94">
        <f>E57*45</f>
        <v>8321.4</v>
      </c>
      <c r="I57" s="94"/>
      <c r="J57" s="94"/>
      <c r="K57" s="94"/>
      <c r="L57" s="176"/>
      <c r="M57" s="176"/>
      <c r="N57" s="73"/>
      <c r="O57" s="73"/>
      <c r="P57" s="106"/>
      <c r="Q57" s="73"/>
      <c r="R57" s="52"/>
      <c r="S57" s="47"/>
    </row>
    <row r="58" spans="1:19" s="2" customFormat="1" ht="43.5" customHeight="1" x14ac:dyDescent="0.25">
      <c r="A58" s="17"/>
      <c r="B58" s="18"/>
      <c r="C58" s="110" t="s">
        <v>60</v>
      </c>
      <c r="D58" s="113" t="s">
        <v>79</v>
      </c>
      <c r="E58" s="89">
        <f>SUM(E55:E57)</f>
        <v>114776.57799999998</v>
      </c>
      <c r="F58" s="89"/>
      <c r="G58" s="87">
        <f t="shared" ref="G58:H58" si="15">SUM(G55:G57)</f>
        <v>348927.96402000007</v>
      </c>
      <c r="H58" s="87">
        <f t="shared" si="15"/>
        <v>2708750.8600000013</v>
      </c>
      <c r="I58" s="87"/>
      <c r="J58" s="87"/>
      <c r="K58" s="87"/>
      <c r="L58" s="87"/>
      <c r="M58" s="87"/>
      <c r="N58" s="87"/>
      <c r="O58" s="87"/>
      <c r="P58" s="87">
        <f t="shared" ref="P58" si="16">SUM(P55:P57)</f>
        <v>905482.1</v>
      </c>
      <c r="Q58" s="76"/>
      <c r="R58" s="49"/>
      <c r="S58" s="50"/>
    </row>
    <row r="59" spans="1:19" s="2" customFormat="1" ht="25.5" customHeight="1" x14ac:dyDescent="0.25">
      <c r="A59" s="19"/>
      <c r="B59" s="20"/>
      <c r="C59" s="175" t="s">
        <v>60</v>
      </c>
      <c r="D59" s="99" t="s">
        <v>82</v>
      </c>
      <c r="E59" s="93">
        <v>2764.011</v>
      </c>
      <c r="F59" s="94">
        <v>5.91</v>
      </c>
      <c r="G59" s="94">
        <f>E59*F59</f>
        <v>16335.30501</v>
      </c>
      <c r="H59" s="94">
        <f>E59*57</f>
        <v>157548.62700000001</v>
      </c>
      <c r="I59" s="94"/>
      <c r="J59" s="94"/>
      <c r="K59" s="94"/>
      <c r="L59" s="94"/>
      <c r="M59" s="94"/>
      <c r="N59" s="94"/>
      <c r="O59" s="94"/>
      <c r="P59" s="94">
        <v>297332.40000000002</v>
      </c>
      <c r="Q59" s="73"/>
      <c r="R59" s="52"/>
      <c r="S59" s="47"/>
    </row>
    <row r="60" spans="1:19" s="2" customFormat="1" ht="26.25" customHeight="1" x14ac:dyDescent="0.25">
      <c r="A60" s="19"/>
      <c r="B60" s="20"/>
      <c r="C60" s="175" t="s">
        <v>27</v>
      </c>
      <c r="D60" s="99" t="s">
        <v>82</v>
      </c>
      <c r="E60" s="93">
        <v>108.92</v>
      </c>
      <c r="F60" s="94">
        <v>5.91</v>
      </c>
      <c r="G60" s="94">
        <f>E60*F60</f>
        <v>643.71720000000005</v>
      </c>
      <c r="H60" s="94">
        <f>E60*57</f>
        <v>6208.4400000000005</v>
      </c>
      <c r="I60" s="94"/>
      <c r="J60" s="94"/>
      <c r="K60" s="94"/>
      <c r="L60" s="94"/>
      <c r="M60" s="94"/>
      <c r="N60" s="94"/>
      <c r="O60" s="94"/>
      <c r="P60" s="94"/>
      <c r="Q60" s="73"/>
      <c r="R60" s="52"/>
      <c r="S60" s="47"/>
    </row>
    <row r="61" spans="1:19" s="2" customFormat="1" ht="43.5" customHeight="1" x14ac:dyDescent="0.25">
      <c r="A61" s="17"/>
      <c r="B61" s="18"/>
      <c r="C61" s="110" t="s">
        <v>60</v>
      </c>
      <c r="D61" s="113" t="s">
        <v>81</v>
      </c>
      <c r="E61" s="89">
        <f>SUM(E58:E60)</f>
        <v>117649.50899999998</v>
      </c>
      <c r="F61" s="89"/>
      <c r="G61" s="87">
        <f>SUM(G58:G60)</f>
        <v>365906.9862300001</v>
      </c>
      <c r="H61" s="87">
        <f t="shared" ref="H61" si="17">SUM(H58:H60)</f>
        <v>2872507.9270000011</v>
      </c>
      <c r="I61" s="87"/>
      <c r="J61" s="87"/>
      <c r="K61" s="87"/>
      <c r="L61" s="87"/>
      <c r="M61" s="87"/>
      <c r="N61" s="87"/>
      <c r="O61" s="87"/>
      <c r="P61" s="87">
        <f>SUM(P58:P60)</f>
        <v>1202814.5</v>
      </c>
      <c r="Q61" s="87"/>
      <c r="R61" s="49"/>
      <c r="S61" s="50"/>
    </row>
    <row r="62" spans="1:19" s="2" customFormat="1" ht="27.75" customHeight="1" x14ac:dyDescent="0.25">
      <c r="A62" s="19"/>
      <c r="B62" s="20"/>
      <c r="C62" s="175" t="s">
        <v>60</v>
      </c>
      <c r="D62" s="99" t="s">
        <v>84</v>
      </c>
      <c r="E62" s="93">
        <v>3070.7260000000001</v>
      </c>
      <c r="F62" s="94">
        <v>5.91</v>
      </c>
      <c r="G62" s="94">
        <f>E62*F62</f>
        <v>18147.990659999999</v>
      </c>
      <c r="H62" s="94">
        <f>E62*57</f>
        <v>175031.38200000001</v>
      </c>
      <c r="I62" s="94"/>
      <c r="J62" s="94"/>
      <c r="K62" s="94"/>
      <c r="L62" s="94"/>
      <c r="M62" s="94"/>
      <c r="N62" s="94"/>
      <c r="O62" s="94"/>
      <c r="P62" s="94">
        <v>35640</v>
      </c>
      <c r="Q62" s="94"/>
      <c r="R62" s="52"/>
      <c r="S62" s="47"/>
    </row>
    <row r="63" spans="1:19" s="2" customFormat="1" ht="26.25" customHeight="1" x14ac:dyDescent="0.25">
      <c r="A63" s="19"/>
      <c r="B63" s="20"/>
      <c r="C63" s="175" t="s">
        <v>27</v>
      </c>
      <c r="D63" s="99" t="s">
        <v>85</v>
      </c>
      <c r="E63" s="93">
        <v>117.6</v>
      </c>
      <c r="F63" s="94">
        <v>5.91</v>
      </c>
      <c r="G63" s="94">
        <f>E63*F63</f>
        <v>695.01599999999996</v>
      </c>
      <c r="H63" s="94">
        <f>E63*57</f>
        <v>6703.2</v>
      </c>
      <c r="I63" s="94"/>
      <c r="J63" s="94"/>
      <c r="K63" s="94"/>
      <c r="L63" s="94"/>
      <c r="M63" s="94"/>
      <c r="N63" s="94"/>
      <c r="O63" s="94"/>
      <c r="P63" s="94"/>
      <c r="Q63" s="94"/>
      <c r="R63" s="52"/>
      <c r="S63" s="47"/>
    </row>
    <row r="64" spans="1:19" s="2" customFormat="1" ht="26.25" customHeight="1" x14ac:dyDescent="0.25">
      <c r="A64" s="19"/>
      <c r="B64" s="20"/>
      <c r="C64" s="175" t="s">
        <v>87</v>
      </c>
      <c r="D64" s="99"/>
      <c r="E64" s="93">
        <v>45.96</v>
      </c>
      <c r="F64" s="94"/>
      <c r="G64" s="94">
        <f>45.96*5.91</f>
        <v>271.62360000000001</v>
      </c>
      <c r="H64" s="94">
        <f>45.96*57</f>
        <v>2619.7200000000003</v>
      </c>
      <c r="I64" s="94"/>
      <c r="J64" s="94"/>
      <c r="K64" s="94"/>
      <c r="L64" s="94"/>
      <c r="M64" s="94"/>
      <c r="N64" s="94"/>
      <c r="O64" s="94"/>
      <c r="P64" s="94"/>
      <c r="Q64" s="94"/>
      <c r="R64" s="52"/>
      <c r="S64" s="47"/>
    </row>
    <row r="65" spans="1:19" s="2" customFormat="1" ht="26.25" customHeight="1" x14ac:dyDescent="0.25">
      <c r="A65" s="19"/>
      <c r="B65" s="20"/>
      <c r="C65" s="175" t="s">
        <v>60</v>
      </c>
      <c r="D65" s="99"/>
      <c r="E65" s="93"/>
      <c r="F65" s="94"/>
      <c r="G65" s="94"/>
      <c r="H65" s="94">
        <v>108119.56</v>
      </c>
      <c r="I65" s="94"/>
      <c r="J65" s="94"/>
      <c r="K65" s="94"/>
      <c r="L65" s="94"/>
      <c r="M65" s="94"/>
      <c r="N65" s="94"/>
      <c r="O65" s="94"/>
      <c r="P65" s="94"/>
      <c r="Q65" s="94"/>
      <c r="R65" s="52"/>
      <c r="S65" s="212" t="s">
        <v>88</v>
      </c>
    </row>
    <row r="66" spans="1:19" s="2" customFormat="1" ht="43.5" customHeight="1" x14ac:dyDescent="0.25">
      <c r="A66" s="17"/>
      <c r="B66" s="18"/>
      <c r="C66" s="110" t="s">
        <v>60</v>
      </c>
      <c r="D66" s="113" t="s">
        <v>86</v>
      </c>
      <c r="E66" s="89">
        <f>SUM(E61:E64)</f>
        <v>120883.79499999998</v>
      </c>
      <c r="F66" s="89"/>
      <c r="G66" s="87">
        <v>385021.62</v>
      </c>
      <c r="H66" s="87">
        <f>SUM(H61:H65)</f>
        <v>3164981.7890000017</v>
      </c>
      <c r="I66" s="87"/>
      <c r="J66" s="87"/>
      <c r="K66" s="87"/>
      <c r="L66" s="87"/>
      <c r="M66" s="87"/>
      <c r="N66" s="87"/>
      <c r="O66" s="87"/>
      <c r="P66" s="87">
        <f>SUM(P61:P62)</f>
        <v>1238454.5</v>
      </c>
      <c r="Q66" s="87"/>
      <c r="R66" s="49"/>
      <c r="S66" s="50"/>
    </row>
    <row r="67" spans="1:19" s="2" customFormat="1" ht="29.25" customHeight="1" x14ac:dyDescent="0.25">
      <c r="A67" s="19"/>
      <c r="B67" s="20"/>
      <c r="C67" s="175" t="s">
        <v>60</v>
      </c>
      <c r="D67" s="99" t="s">
        <v>89</v>
      </c>
      <c r="E67" s="93">
        <v>3693.1680000000001</v>
      </c>
      <c r="F67" s="94">
        <v>5.91</v>
      </c>
      <c r="G67" s="94">
        <f>E67*F67</f>
        <v>21826.622880000003</v>
      </c>
      <c r="H67" s="94">
        <f>E67*57</f>
        <v>210510.576</v>
      </c>
      <c r="I67" s="94"/>
      <c r="J67" s="94"/>
      <c r="K67" s="94"/>
      <c r="L67" s="94"/>
      <c r="M67" s="94"/>
      <c r="N67" s="94"/>
      <c r="O67" s="94"/>
      <c r="P67" s="94">
        <v>323328.59999999998</v>
      </c>
      <c r="Q67" s="94"/>
      <c r="R67" s="52"/>
      <c r="S67" s="47"/>
    </row>
    <row r="68" spans="1:19" s="2" customFormat="1" ht="27.75" customHeight="1" x14ac:dyDescent="0.25">
      <c r="A68" s="19"/>
      <c r="B68" s="20"/>
      <c r="C68" s="175" t="s">
        <v>27</v>
      </c>
      <c r="D68" s="99" t="s">
        <v>89</v>
      </c>
      <c r="E68" s="93">
        <v>215.94</v>
      </c>
      <c r="F68" s="94">
        <v>5.91</v>
      </c>
      <c r="G68" s="94">
        <f>E68*F68</f>
        <v>1276.2054000000001</v>
      </c>
      <c r="H68" s="94">
        <f>E68*57</f>
        <v>12308.58</v>
      </c>
      <c r="I68" s="94"/>
      <c r="J68" s="94"/>
      <c r="K68" s="94"/>
      <c r="L68" s="94"/>
      <c r="M68" s="94"/>
      <c r="N68" s="94"/>
      <c r="O68" s="94"/>
      <c r="P68" s="94"/>
      <c r="Q68" s="94"/>
      <c r="R68" s="52"/>
      <c r="S68" s="47"/>
    </row>
    <row r="69" spans="1:19" s="2" customFormat="1" ht="43.5" customHeight="1" x14ac:dyDescent="0.25">
      <c r="A69" s="19"/>
      <c r="B69" s="20"/>
      <c r="C69" s="175" t="s">
        <v>37</v>
      </c>
      <c r="D69" s="216"/>
      <c r="E69" s="93">
        <v>88.7</v>
      </c>
      <c r="F69" s="93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52"/>
      <c r="S69" s="47"/>
    </row>
    <row r="70" spans="1:19" s="2" customFormat="1" ht="43.5" customHeight="1" x14ac:dyDescent="0.25">
      <c r="A70" s="17"/>
      <c r="B70" s="18"/>
      <c r="C70" s="110" t="s">
        <v>60</v>
      </c>
      <c r="D70" s="113" t="s">
        <v>90</v>
      </c>
      <c r="E70" s="89">
        <f>SUM(E66:E69)</f>
        <v>124881.60299999999</v>
      </c>
      <c r="F70" s="89"/>
      <c r="G70" s="87">
        <f t="shared" ref="G70:P70" si="18">SUM(G66:G69)</f>
        <v>408124.44827999995</v>
      </c>
      <c r="H70" s="87">
        <f t="shared" si="18"/>
        <v>3387800.9450000017</v>
      </c>
      <c r="I70" s="87"/>
      <c r="J70" s="87"/>
      <c r="K70" s="87"/>
      <c r="L70" s="87"/>
      <c r="M70" s="87"/>
      <c r="N70" s="87"/>
      <c r="O70" s="87"/>
      <c r="P70" s="87">
        <f t="shared" si="18"/>
        <v>1561783.1</v>
      </c>
      <c r="Q70" s="87"/>
      <c r="R70" s="49"/>
      <c r="S70" s="50"/>
    </row>
    <row r="71" spans="1:19" s="2" customFormat="1" ht="28.5" customHeight="1" x14ac:dyDescent="0.25">
      <c r="A71" s="19"/>
      <c r="B71" s="20"/>
      <c r="C71" s="175" t="s">
        <v>60</v>
      </c>
      <c r="D71" s="99" t="s">
        <v>93</v>
      </c>
      <c r="E71" s="93">
        <v>3640.3119999999999</v>
      </c>
      <c r="F71" s="94">
        <v>5.91</v>
      </c>
      <c r="G71" s="94">
        <f>E71*F71</f>
        <v>21514.243920000001</v>
      </c>
      <c r="H71" s="94">
        <f>E71*57</f>
        <v>207497.78399999999</v>
      </c>
      <c r="I71" s="94"/>
      <c r="J71" s="94"/>
      <c r="K71" s="94"/>
      <c r="L71" s="94"/>
      <c r="M71" s="94"/>
      <c r="N71" s="94"/>
      <c r="O71" s="94"/>
      <c r="P71" s="94">
        <v>250000</v>
      </c>
      <c r="Q71" s="94"/>
      <c r="R71" s="52"/>
      <c r="S71" s="47"/>
    </row>
    <row r="72" spans="1:19" s="2" customFormat="1" ht="30.75" customHeight="1" x14ac:dyDescent="0.25">
      <c r="A72" s="19"/>
      <c r="B72" s="20"/>
      <c r="C72" s="175" t="s">
        <v>27</v>
      </c>
      <c r="D72" s="99" t="s">
        <v>93</v>
      </c>
      <c r="E72" s="93">
        <v>195.68</v>
      </c>
      <c r="F72" s="94">
        <v>5.91</v>
      </c>
      <c r="G72" s="94">
        <f>E72*F72</f>
        <v>1156.4688000000001</v>
      </c>
      <c r="H72" s="94">
        <f>E72*57</f>
        <v>11153.76</v>
      </c>
      <c r="I72" s="94"/>
      <c r="J72" s="94"/>
      <c r="K72" s="94"/>
      <c r="L72" s="94"/>
      <c r="M72" s="94"/>
      <c r="N72" s="94"/>
      <c r="O72" s="94"/>
      <c r="P72" s="94"/>
      <c r="Q72" s="94"/>
      <c r="R72" s="52"/>
      <c r="S72" s="47"/>
    </row>
    <row r="73" spans="1:19" s="2" customFormat="1" ht="43.5" customHeight="1" x14ac:dyDescent="0.25">
      <c r="A73" s="17"/>
      <c r="B73" s="18"/>
      <c r="C73" s="110" t="s">
        <v>60</v>
      </c>
      <c r="D73" s="113" t="s">
        <v>94</v>
      </c>
      <c r="E73" s="89">
        <f>SUM(E70:E72)</f>
        <v>128717.59499999999</v>
      </c>
      <c r="F73" s="89"/>
      <c r="G73" s="87">
        <f t="shared" ref="G73:H73" si="19">SUM(G70:G72)</f>
        <v>430795.16099999991</v>
      </c>
      <c r="H73" s="87">
        <f t="shared" si="19"/>
        <v>3606452.4890000015</v>
      </c>
      <c r="I73" s="87"/>
      <c r="J73" s="87"/>
      <c r="K73" s="87"/>
      <c r="L73" s="87"/>
      <c r="M73" s="87"/>
      <c r="N73" s="87"/>
      <c r="O73" s="87"/>
      <c r="P73" s="87">
        <f t="shared" ref="P73" si="20">SUM(P70:P72)</f>
        <v>1811783.1</v>
      </c>
      <c r="Q73" s="87"/>
      <c r="R73" s="49"/>
      <c r="S73" s="50"/>
    </row>
    <row r="74" spans="1:19" s="2" customFormat="1" ht="126.75" customHeight="1" x14ac:dyDescent="0.25">
      <c r="A74" s="19"/>
      <c r="B74" s="20"/>
      <c r="C74" s="175" t="s">
        <v>60</v>
      </c>
      <c r="D74" s="99" t="s">
        <v>96</v>
      </c>
      <c r="E74" s="93">
        <v>3060.5039999999999</v>
      </c>
      <c r="F74" s="94">
        <v>5.91</v>
      </c>
      <c r="G74" s="94">
        <f>E74*F74</f>
        <v>18087.57864</v>
      </c>
      <c r="H74" s="94">
        <v>282216.53000000003</v>
      </c>
      <c r="I74" s="94"/>
      <c r="J74" s="94"/>
      <c r="K74" s="94"/>
      <c r="L74" s="94"/>
      <c r="M74" s="94"/>
      <c r="N74" s="94"/>
      <c r="O74" s="94"/>
      <c r="P74" s="94">
        <v>0</v>
      </c>
      <c r="Q74" s="94"/>
      <c r="R74" s="52"/>
      <c r="S74" s="218" t="s">
        <v>107</v>
      </c>
    </row>
    <row r="75" spans="1:19" s="2" customFormat="1" ht="128.25" customHeight="1" x14ac:dyDescent="0.25">
      <c r="A75" s="19"/>
      <c r="B75" s="20"/>
      <c r="C75" s="175" t="s">
        <v>27</v>
      </c>
      <c r="D75" s="99" t="s">
        <v>96</v>
      </c>
      <c r="E75" s="93">
        <v>226.62</v>
      </c>
      <c r="F75" s="94">
        <v>5.91</v>
      </c>
      <c r="G75" s="94">
        <f>E75*F75</f>
        <v>1339.3242</v>
      </c>
      <c r="H75" s="94">
        <v>21326.62</v>
      </c>
      <c r="I75" s="94"/>
      <c r="J75" s="94"/>
      <c r="K75" s="94"/>
      <c r="L75" s="94"/>
      <c r="M75" s="94"/>
      <c r="N75" s="94"/>
      <c r="O75" s="94"/>
      <c r="P75" s="94"/>
      <c r="Q75" s="94"/>
      <c r="R75" s="52"/>
      <c r="S75" s="218" t="s">
        <v>108</v>
      </c>
    </row>
    <row r="76" spans="1:19" s="2" customFormat="1" ht="43.5" customHeight="1" x14ac:dyDescent="0.25">
      <c r="A76" s="17"/>
      <c r="B76" s="18"/>
      <c r="C76" s="110" t="s">
        <v>60</v>
      </c>
      <c r="D76" s="113" t="s">
        <v>97</v>
      </c>
      <c r="E76" s="89">
        <f>SUM(E73:E75)</f>
        <v>132004.71899999998</v>
      </c>
      <c r="F76" s="89"/>
      <c r="G76" s="87">
        <f t="shared" ref="G76:H76" si="21">SUM(G73:G75)</f>
        <v>450222.0638399999</v>
      </c>
      <c r="H76" s="87">
        <f t="shared" si="21"/>
        <v>3909995.6390000014</v>
      </c>
      <c r="I76" s="87"/>
      <c r="J76" s="87"/>
      <c r="K76" s="87"/>
      <c r="L76" s="87"/>
      <c r="M76" s="87"/>
      <c r="N76" s="87"/>
      <c r="O76" s="87"/>
      <c r="P76" s="87">
        <v>1811783.1</v>
      </c>
      <c r="Q76" s="87"/>
      <c r="R76" s="49"/>
      <c r="S76" s="50"/>
    </row>
    <row r="77" spans="1:19" s="2" customFormat="1" ht="32.25" customHeight="1" x14ac:dyDescent="0.25">
      <c r="A77" s="19"/>
      <c r="B77" s="20"/>
      <c r="C77" s="102" t="s">
        <v>60</v>
      </c>
      <c r="D77" s="222" t="s">
        <v>119</v>
      </c>
      <c r="E77" s="93">
        <v>3578.19</v>
      </c>
      <c r="F77" s="94">
        <v>5.91</v>
      </c>
      <c r="G77" s="94">
        <f>E77*F77</f>
        <v>21147.102900000002</v>
      </c>
      <c r="H77" s="94">
        <f>E77*69</f>
        <v>246895.11000000002</v>
      </c>
      <c r="I77" s="94"/>
      <c r="J77" s="94"/>
      <c r="K77" s="94"/>
      <c r="L77" s="94"/>
      <c r="M77" s="94"/>
      <c r="N77" s="94"/>
      <c r="O77" s="94"/>
      <c r="P77" s="94">
        <v>167115.75</v>
      </c>
      <c r="Q77" s="94"/>
      <c r="R77" s="52"/>
      <c r="S77" s="47"/>
    </row>
    <row r="78" spans="1:19" s="2" customFormat="1" ht="30" customHeight="1" x14ac:dyDescent="0.25">
      <c r="A78" s="19"/>
      <c r="B78" s="20"/>
      <c r="C78" s="102" t="s">
        <v>27</v>
      </c>
      <c r="D78" s="222" t="s">
        <v>119</v>
      </c>
      <c r="E78" s="93">
        <v>232.78</v>
      </c>
      <c r="F78" s="94">
        <v>5.91</v>
      </c>
      <c r="G78" s="94">
        <f>E78*F78</f>
        <v>1375.7298000000001</v>
      </c>
      <c r="H78" s="94">
        <f>E78*69</f>
        <v>16061.82</v>
      </c>
      <c r="I78" s="94"/>
      <c r="J78" s="94"/>
      <c r="K78" s="94"/>
      <c r="L78" s="94"/>
      <c r="M78" s="94"/>
      <c r="N78" s="94"/>
      <c r="O78" s="94"/>
      <c r="P78" s="94"/>
      <c r="Q78" s="94"/>
      <c r="R78" s="52"/>
      <c r="S78" s="47"/>
    </row>
    <row r="79" spans="1:19" s="2" customFormat="1" ht="30" customHeight="1" x14ac:dyDescent="0.25">
      <c r="A79" s="19"/>
      <c r="B79" s="20"/>
      <c r="C79" s="102" t="s">
        <v>60</v>
      </c>
      <c r="D79" s="222"/>
      <c r="E79" s="93"/>
      <c r="F79" s="94"/>
      <c r="G79" s="94"/>
      <c r="H79" s="94">
        <v>283211.76</v>
      </c>
      <c r="I79" s="94"/>
      <c r="J79" s="94"/>
      <c r="K79" s="94"/>
      <c r="L79" s="94"/>
      <c r="M79" s="94"/>
      <c r="N79" s="94"/>
      <c r="O79" s="94"/>
      <c r="P79" s="94"/>
      <c r="Q79" s="94"/>
      <c r="R79" s="52"/>
      <c r="S79" s="227" t="s">
        <v>130</v>
      </c>
    </row>
    <row r="80" spans="1:19" s="2" customFormat="1" ht="43.5" customHeight="1" x14ac:dyDescent="0.25">
      <c r="A80" s="17"/>
      <c r="B80" s="18"/>
      <c r="C80" s="110" t="s">
        <v>60</v>
      </c>
      <c r="D80" s="113" t="s">
        <v>120</v>
      </c>
      <c r="E80" s="89">
        <f>SUM(E76:E79)</f>
        <v>135815.68899999998</v>
      </c>
      <c r="F80" s="89"/>
      <c r="G80" s="87">
        <f t="shared" ref="G80:P80" si="22">SUM(G76:G79)</f>
        <v>472744.89653999987</v>
      </c>
      <c r="H80" s="87">
        <f t="shared" si="22"/>
        <v>4456164.3290000008</v>
      </c>
      <c r="I80" s="87"/>
      <c r="J80" s="87"/>
      <c r="K80" s="87"/>
      <c r="L80" s="87"/>
      <c r="M80" s="87"/>
      <c r="N80" s="87"/>
      <c r="O80" s="87"/>
      <c r="P80" s="87">
        <f t="shared" si="22"/>
        <v>1978898.85</v>
      </c>
      <c r="Q80" s="87"/>
      <c r="R80" s="49"/>
      <c r="S80" s="50"/>
    </row>
    <row r="81" spans="1:19" s="2" customFormat="1" ht="43.5" customHeight="1" x14ac:dyDescent="0.25">
      <c r="A81" s="19"/>
      <c r="B81" s="20"/>
      <c r="C81" s="175" t="s">
        <v>60</v>
      </c>
      <c r="D81" s="222" t="s">
        <v>139</v>
      </c>
      <c r="E81" s="93">
        <v>3922.4169999999999</v>
      </c>
      <c r="F81" s="94">
        <v>5.91</v>
      </c>
      <c r="G81" s="94">
        <f>SUM(E81*F81)</f>
        <v>23181.484469999999</v>
      </c>
      <c r="H81" s="94">
        <f>SUM(E81*69)</f>
        <v>270646.77299999999</v>
      </c>
      <c r="I81" s="94"/>
      <c r="J81" s="94"/>
      <c r="K81" s="94"/>
      <c r="L81" s="94"/>
      <c r="M81" s="94"/>
      <c r="N81" s="94"/>
      <c r="O81" s="94"/>
      <c r="P81" s="94">
        <v>294742.28999999998</v>
      </c>
      <c r="Q81" s="94"/>
      <c r="R81" s="52"/>
      <c r="S81" s="47"/>
    </row>
    <row r="82" spans="1:19" s="2" customFormat="1" ht="43.5" customHeight="1" x14ac:dyDescent="0.25">
      <c r="A82" s="19"/>
      <c r="B82" s="20"/>
      <c r="C82" s="175" t="s">
        <v>27</v>
      </c>
      <c r="D82" s="222" t="s">
        <v>139</v>
      </c>
      <c r="E82" s="93">
        <v>166.78</v>
      </c>
      <c r="F82" s="94">
        <v>5.91</v>
      </c>
      <c r="G82" s="94">
        <f>SUM(E82*F82)</f>
        <v>985.66980000000001</v>
      </c>
      <c r="H82" s="94">
        <f>SUM(E82*69)</f>
        <v>11507.82</v>
      </c>
      <c r="I82" s="94"/>
      <c r="J82" s="94"/>
      <c r="K82" s="94"/>
      <c r="L82" s="94"/>
      <c r="M82" s="94"/>
      <c r="N82" s="94"/>
      <c r="O82" s="94"/>
      <c r="P82" s="94"/>
      <c r="Q82" s="94"/>
      <c r="R82" s="52"/>
      <c r="S82" s="47"/>
    </row>
    <row r="83" spans="1:19" s="2" customFormat="1" ht="43.5" customHeight="1" x14ac:dyDescent="0.25">
      <c r="A83" s="17"/>
      <c r="B83" s="18"/>
      <c r="C83" s="110" t="s">
        <v>60</v>
      </c>
      <c r="D83" s="113" t="s">
        <v>140</v>
      </c>
      <c r="E83" s="89">
        <f>SUM(E80:E82)</f>
        <v>139904.88599999997</v>
      </c>
      <c r="F83" s="89"/>
      <c r="G83" s="87">
        <f t="shared" ref="G83:H83" si="23">SUM(G80:G82)</f>
        <v>496912.05080999987</v>
      </c>
      <c r="H83" s="87">
        <f t="shared" si="23"/>
        <v>4738318.9220000012</v>
      </c>
      <c r="I83" s="87"/>
      <c r="J83" s="87"/>
      <c r="K83" s="87"/>
      <c r="L83" s="87"/>
      <c r="M83" s="87"/>
      <c r="N83" s="87"/>
      <c r="O83" s="87"/>
      <c r="P83" s="87">
        <f>SUM(P80:P82)</f>
        <v>2273641.14</v>
      </c>
      <c r="Q83" s="87"/>
      <c r="R83" s="49"/>
      <c r="S83" s="50"/>
    </row>
    <row r="84" spans="1:19" s="2" customFormat="1" ht="93" customHeight="1" x14ac:dyDescent="0.25">
      <c r="A84" s="19"/>
      <c r="B84" s="20"/>
      <c r="C84" s="175" t="s">
        <v>170</v>
      </c>
      <c r="D84" s="222" t="s">
        <v>144</v>
      </c>
      <c r="E84" s="93">
        <v>3595.94</v>
      </c>
      <c r="F84" s="94">
        <v>5.91</v>
      </c>
      <c r="G84" s="94">
        <f>2346.49*5.91</f>
        <v>13867.755899999998</v>
      </c>
      <c r="H84" s="94">
        <f>2346.49*69</f>
        <v>161907.81</v>
      </c>
      <c r="I84" s="228">
        <f>1153.872*5.91</f>
        <v>6819.3835200000003</v>
      </c>
      <c r="J84" s="228">
        <f>1153.872*69</f>
        <v>79617.168000000005</v>
      </c>
      <c r="K84" s="228">
        <f>SUM(I84+J84)</f>
        <v>86436.551520000008</v>
      </c>
      <c r="L84" s="256" t="s">
        <v>207</v>
      </c>
      <c r="M84" s="257"/>
      <c r="N84" s="94"/>
      <c r="O84" s="94"/>
      <c r="P84" s="94">
        <v>1313670</v>
      </c>
      <c r="Q84" s="94"/>
      <c r="R84" s="52"/>
      <c r="S84" s="47"/>
    </row>
    <row r="85" spans="1:19" s="2" customFormat="1" ht="43.5" customHeight="1" x14ac:dyDescent="0.25">
      <c r="A85" s="17"/>
      <c r="B85" s="18"/>
      <c r="C85" s="110" t="s">
        <v>60</v>
      </c>
      <c r="D85" s="113" t="s">
        <v>145</v>
      </c>
      <c r="E85" s="89">
        <f>SUM(E83:E84)</f>
        <v>143500.82599999997</v>
      </c>
      <c r="F85" s="89"/>
      <c r="G85" s="87">
        <f>SUM(G83:G84)</f>
        <v>510779.80670999986</v>
      </c>
      <c r="H85" s="87">
        <f>SUM(H83:H84)</f>
        <v>4900226.7320000008</v>
      </c>
      <c r="I85" s="87"/>
      <c r="J85" s="87"/>
      <c r="K85" s="87"/>
      <c r="L85" s="87"/>
      <c r="M85" s="87"/>
      <c r="N85" s="87"/>
      <c r="O85" s="87"/>
      <c r="P85" s="87">
        <f>SUM(P83:P84)</f>
        <v>3587311.14</v>
      </c>
      <c r="Q85" s="87"/>
      <c r="R85" s="49"/>
      <c r="S85" s="50"/>
    </row>
    <row r="86" spans="1:19" s="2" customFormat="1" ht="43.5" customHeight="1" x14ac:dyDescent="0.25">
      <c r="A86" s="19"/>
      <c r="B86" s="20"/>
      <c r="C86" s="175" t="s">
        <v>170</v>
      </c>
      <c r="D86" s="222" t="s">
        <v>165</v>
      </c>
      <c r="E86" s="93">
        <v>3375.9279999999999</v>
      </c>
      <c r="F86" s="94">
        <v>5.91</v>
      </c>
      <c r="G86" s="94">
        <f>E86*F86</f>
        <v>19951.734479999999</v>
      </c>
      <c r="H86" s="94">
        <f>E86*82</f>
        <v>276826.09600000002</v>
      </c>
      <c r="I86" s="94"/>
      <c r="J86" s="94"/>
      <c r="K86" s="94"/>
      <c r="L86" s="94"/>
      <c r="M86" s="94"/>
      <c r="N86" s="94"/>
      <c r="O86" s="94"/>
      <c r="P86" s="220" t="s">
        <v>191</v>
      </c>
      <c r="Q86" s="94"/>
      <c r="R86" s="52"/>
      <c r="S86" s="47"/>
    </row>
    <row r="87" spans="1:19" s="2" customFormat="1" ht="32.25" customHeight="1" x14ac:dyDescent="0.25">
      <c r="A87" s="19"/>
      <c r="B87" s="20"/>
      <c r="C87" s="175" t="s">
        <v>60</v>
      </c>
      <c r="D87" s="222"/>
      <c r="E87" s="93"/>
      <c r="F87" s="94"/>
      <c r="G87" s="94"/>
      <c r="H87" s="94">
        <v>772864.76</v>
      </c>
      <c r="I87" s="94"/>
      <c r="J87" s="94"/>
      <c r="K87" s="94"/>
      <c r="L87" s="94"/>
      <c r="M87" s="94"/>
      <c r="N87" s="94"/>
      <c r="O87" s="94"/>
      <c r="P87" s="220"/>
      <c r="Q87" s="94"/>
      <c r="R87" s="52"/>
      <c r="S87" s="175" t="s">
        <v>193</v>
      </c>
    </row>
    <row r="88" spans="1:19" s="2" customFormat="1" ht="46.5" customHeight="1" x14ac:dyDescent="0.25">
      <c r="A88" s="17"/>
      <c r="B88" s="18"/>
      <c r="C88" s="110" t="s">
        <v>60</v>
      </c>
      <c r="D88" s="100" t="s">
        <v>167</v>
      </c>
      <c r="E88" s="89">
        <f>SUM(E85+E86)</f>
        <v>146876.75399999996</v>
      </c>
      <c r="F88" s="89"/>
      <c r="G88" s="87">
        <f>SUM(G85+G86)</f>
        <v>530731.5411899999</v>
      </c>
      <c r="H88" s="87">
        <f>SUM(H85:H87)</f>
        <v>5949917.5880000005</v>
      </c>
      <c r="I88" s="87"/>
      <c r="J88" s="87"/>
      <c r="K88" s="87"/>
      <c r="L88" s="87"/>
      <c r="M88" s="87"/>
      <c r="N88" s="87"/>
      <c r="O88" s="87"/>
      <c r="P88" s="221" t="s">
        <v>192</v>
      </c>
      <c r="Q88" s="87"/>
      <c r="R88" s="49"/>
      <c r="S88" s="50"/>
    </row>
    <row r="89" spans="1:19" s="2" customFormat="1" ht="43.5" customHeight="1" x14ac:dyDescent="0.25">
      <c r="A89" s="19"/>
      <c r="B89" s="20"/>
      <c r="C89" s="175" t="s">
        <v>170</v>
      </c>
      <c r="D89" s="222" t="s">
        <v>166</v>
      </c>
      <c r="E89" s="93">
        <v>3435.663</v>
      </c>
      <c r="F89" s="94">
        <v>5.91</v>
      </c>
      <c r="G89" s="94">
        <f>F89*E89</f>
        <v>20304.768329999999</v>
      </c>
      <c r="H89" s="94">
        <f>E89*82</f>
        <v>281724.36599999998</v>
      </c>
      <c r="I89" s="94"/>
      <c r="J89" s="94"/>
      <c r="K89" s="94"/>
      <c r="L89" s="94"/>
      <c r="M89" s="94"/>
      <c r="N89" s="94"/>
      <c r="O89" s="94"/>
      <c r="P89" s="94">
        <v>0</v>
      </c>
      <c r="Q89" s="94"/>
      <c r="R89" s="52"/>
      <c r="S89" s="47"/>
    </row>
    <row r="90" spans="1:19" s="2" customFormat="1" ht="43.5" customHeight="1" x14ac:dyDescent="0.25">
      <c r="A90" s="17"/>
      <c r="B90" s="18"/>
      <c r="C90" s="110" t="s">
        <v>60</v>
      </c>
      <c r="D90" s="113" t="s">
        <v>168</v>
      </c>
      <c r="E90" s="89">
        <f>SUM(E88:E89)</f>
        <v>150312.41699999996</v>
      </c>
      <c r="F90" s="89"/>
      <c r="G90" s="87">
        <f>SUM(G88:G89)</f>
        <v>551036.30951999989</v>
      </c>
      <c r="H90" s="87">
        <f>SUM(H88:H89)</f>
        <v>6231641.9540000008</v>
      </c>
      <c r="I90" s="87"/>
      <c r="J90" s="87"/>
      <c r="K90" s="87"/>
      <c r="L90" s="87"/>
      <c r="M90" s="87"/>
      <c r="N90" s="87"/>
      <c r="O90" s="87"/>
      <c r="P90" s="221" t="s">
        <v>192</v>
      </c>
      <c r="Q90" s="87"/>
      <c r="R90" s="49"/>
      <c r="S90" s="50"/>
    </row>
    <row r="91" spans="1:19" s="236" customFormat="1" ht="43.5" customHeight="1" x14ac:dyDescent="0.25">
      <c r="A91" s="229"/>
      <c r="B91" s="230"/>
      <c r="C91" s="175" t="s">
        <v>170</v>
      </c>
      <c r="D91" s="222" t="s">
        <v>195</v>
      </c>
      <c r="E91" s="231">
        <v>4082.2339999999999</v>
      </c>
      <c r="F91" s="94">
        <v>5.91</v>
      </c>
      <c r="G91" s="232">
        <f>E91*F91</f>
        <v>24126.002939999998</v>
      </c>
      <c r="H91" s="232">
        <f>E91*82</f>
        <v>334743.18799999997</v>
      </c>
      <c r="I91" s="232"/>
      <c r="J91" s="232"/>
      <c r="K91" s="232"/>
      <c r="L91" s="232"/>
      <c r="M91" s="232"/>
      <c r="N91" s="232"/>
      <c r="O91" s="232"/>
      <c r="P91" s="94">
        <v>0</v>
      </c>
      <c r="Q91" s="232"/>
      <c r="R91" s="234"/>
      <c r="S91" s="235"/>
    </row>
    <row r="92" spans="1:19" s="1" customFormat="1" ht="43.5" customHeight="1" x14ac:dyDescent="0.25">
      <c r="A92" s="17"/>
      <c r="B92" s="18"/>
      <c r="C92" s="110" t="s">
        <v>60</v>
      </c>
      <c r="D92" s="113" t="s">
        <v>196</v>
      </c>
      <c r="E92" s="89">
        <f>SUM(E90:E91)</f>
        <v>154394.65099999995</v>
      </c>
      <c r="F92" s="89"/>
      <c r="G92" s="87">
        <f>SUM(G90:G91)</f>
        <v>575162.31245999993</v>
      </c>
      <c r="H92" s="87">
        <f>SUM(H90:H91)</f>
        <v>6566385.1420000009</v>
      </c>
      <c r="I92" s="87"/>
      <c r="J92" s="87"/>
      <c r="K92" s="87"/>
      <c r="L92" s="87"/>
      <c r="M92" s="87"/>
      <c r="N92" s="87"/>
      <c r="O92" s="87"/>
      <c r="P92" s="221" t="s">
        <v>192</v>
      </c>
      <c r="Q92" s="87"/>
      <c r="R92" s="49"/>
      <c r="S92" s="50"/>
    </row>
    <row r="93" spans="1:19" s="236" customFormat="1" ht="43.5" customHeight="1" x14ac:dyDescent="0.25">
      <c r="A93" s="229"/>
      <c r="B93" s="230"/>
      <c r="C93" s="175" t="s">
        <v>170</v>
      </c>
      <c r="D93" s="222" t="s">
        <v>201</v>
      </c>
      <c r="E93" s="231">
        <v>3770.92</v>
      </c>
      <c r="F93" s="94">
        <v>5.91</v>
      </c>
      <c r="G93" s="232">
        <f>2570.337*5.91</f>
        <v>15190.69167</v>
      </c>
      <c r="H93" s="232">
        <f>2570.337*82</f>
        <v>210767.63399999999</v>
      </c>
      <c r="I93" s="232">
        <f>1200.583*5.91</f>
        <v>7095.4455300000009</v>
      </c>
      <c r="J93" s="232">
        <f>1200.583*82</f>
        <v>98447.806000000011</v>
      </c>
      <c r="K93" s="232"/>
      <c r="L93" s="232"/>
      <c r="M93" s="232"/>
      <c r="N93" s="232"/>
      <c r="O93" s="232"/>
      <c r="P93" s="94">
        <v>0</v>
      </c>
      <c r="Q93" s="232"/>
      <c r="R93" s="234"/>
      <c r="S93" s="235"/>
    </row>
    <row r="94" spans="1:19" s="1" customFormat="1" ht="43.5" customHeight="1" x14ac:dyDescent="0.25">
      <c r="A94" s="17"/>
      <c r="B94" s="18"/>
      <c r="C94" s="110" t="s">
        <v>60</v>
      </c>
      <c r="D94" s="113" t="s">
        <v>202</v>
      </c>
      <c r="E94" s="89">
        <f>SUM(E92:E93)</f>
        <v>158165.57099999997</v>
      </c>
      <c r="F94" s="89"/>
      <c r="G94" s="87">
        <f>SUM(G92:G93)</f>
        <v>590353.0041299999</v>
      </c>
      <c r="H94" s="87">
        <f>SUM(H92:H93)</f>
        <v>6777152.7760000005</v>
      </c>
      <c r="I94" s="87">
        <v>7095.45</v>
      </c>
      <c r="J94" s="87">
        <v>98447.81</v>
      </c>
      <c r="K94" s="87"/>
      <c r="L94" s="87"/>
      <c r="M94" s="87"/>
      <c r="N94" s="87"/>
      <c r="O94" s="87"/>
      <c r="P94" s="221" t="s">
        <v>192</v>
      </c>
      <c r="Q94" s="87"/>
      <c r="R94" s="49"/>
      <c r="S94" s="50"/>
    </row>
    <row r="95" spans="1:19" s="236" customFormat="1" ht="43.5" customHeight="1" x14ac:dyDescent="0.25">
      <c r="A95" s="229"/>
      <c r="B95" s="230"/>
      <c r="C95" s="175" t="s">
        <v>170</v>
      </c>
      <c r="D95" s="222" t="s">
        <v>208</v>
      </c>
      <c r="E95" s="231">
        <v>3111.703</v>
      </c>
      <c r="F95" s="94">
        <v>5.91</v>
      </c>
      <c r="G95" s="232">
        <f>2036.613*5.91+7095.45</f>
        <v>19131.832829999999</v>
      </c>
      <c r="H95" s="232">
        <f>2036.613*95+98447.81</f>
        <v>291926.04500000004</v>
      </c>
      <c r="I95" s="232">
        <f>1075.09*5.91</f>
        <v>6353.7819</v>
      </c>
      <c r="J95" s="232">
        <f>1075.09*95</f>
        <v>102133.54999999999</v>
      </c>
      <c r="K95" s="232"/>
      <c r="L95" s="232"/>
      <c r="M95" s="232"/>
      <c r="N95" s="232"/>
      <c r="O95" s="232"/>
      <c r="P95" s="233"/>
      <c r="Q95" s="232"/>
      <c r="R95" s="234"/>
      <c r="S95" s="235"/>
    </row>
    <row r="96" spans="1:19" s="1" customFormat="1" ht="43.5" customHeight="1" x14ac:dyDescent="0.25">
      <c r="A96" s="17"/>
      <c r="B96" s="18"/>
      <c r="C96" s="110" t="s">
        <v>60</v>
      </c>
      <c r="D96" s="113" t="s">
        <v>209</v>
      </c>
      <c r="E96" s="89">
        <f>SUM(E94:E95)</f>
        <v>161277.27399999998</v>
      </c>
      <c r="F96" s="89"/>
      <c r="G96" s="87">
        <f>SUM(G94:G95)</f>
        <v>609484.83695999987</v>
      </c>
      <c r="H96" s="87">
        <f>SUM(H94:H95)</f>
        <v>7069078.8210000005</v>
      </c>
      <c r="I96" s="87">
        <v>6353.78</v>
      </c>
      <c r="J96" s="87">
        <v>102133.55</v>
      </c>
      <c r="K96" s="87"/>
      <c r="L96" s="87"/>
      <c r="M96" s="87"/>
      <c r="N96" s="87"/>
      <c r="O96" s="87"/>
      <c r="P96" s="221" t="s">
        <v>192</v>
      </c>
      <c r="Q96" s="87"/>
      <c r="R96" s="49"/>
      <c r="S96" s="50"/>
    </row>
    <row r="97" spans="1:20" s="236" customFormat="1" ht="43.5" customHeight="1" x14ac:dyDescent="0.25">
      <c r="A97" s="229"/>
      <c r="B97" s="230"/>
      <c r="C97" s="175" t="s">
        <v>170</v>
      </c>
      <c r="D97" s="222" t="s">
        <v>215</v>
      </c>
      <c r="E97" s="231">
        <v>3397.4879999999998</v>
      </c>
      <c r="F97" s="94">
        <v>5.91</v>
      </c>
      <c r="G97" s="232">
        <f>3295.732*5.91</f>
        <v>19477.776119999999</v>
      </c>
      <c r="H97" s="232">
        <f>3295.732*95</f>
        <v>313094.53999999998</v>
      </c>
      <c r="I97" s="232">
        <f>1176.846*5.91</f>
        <v>6955.1598599999998</v>
      </c>
      <c r="J97" s="232">
        <f>1176.846*95</f>
        <v>111800.37</v>
      </c>
      <c r="K97" s="232"/>
      <c r="L97" s="232"/>
      <c r="M97" s="232"/>
      <c r="N97" s="232"/>
      <c r="O97" s="232"/>
      <c r="P97" s="233"/>
      <c r="Q97" s="232"/>
      <c r="R97" s="234"/>
      <c r="S97" s="235"/>
    </row>
    <row r="98" spans="1:20" s="236" customFormat="1" ht="43.5" customHeight="1" x14ac:dyDescent="0.25">
      <c r="A98" s="229"/>
      <c r="B98" s="230"/>
      <c r="C98" s="252" t="s">
        <v>217</v>
      </c>
      <c r="D98" s="222"/>
      <c r="E98" s="231"/>
      <c r="F98" s="94"/>
      <c r="G98" s="232"/>
      <c r="H98" s="232">
        <v>752411.77</v>
      </c>
      <c r="I98" s="232"/>
      <c r="J98" s="232"/>
      <c r="K98" s="232"/>
      <c r="L98" s="232"/>
      <c r="M98" s="232"/>
      <c r="N98" s="232"/>
      <c r="O98" s="232"/>
      <c r="P98" s="233"/>
      <c r="Q98" s="232"/>
      <c r="R98" s="234"/>
      <c r="S98" s="235"/>
    </row>
    <row r="99" spans="1:20" s="1" customFormat="1" ht="43.5" customHeight="1" x14ac:dyDescent="0.25">
      <c r="A99" s="17"/>
      <c r="B99" s="18"/>
      <c r="C99" s="110" t="s">
        <v>60</v>
      </c>
      <c r="D99" s="113" t="s">
        <v>216</v>
      </c>
      <c r="E99" s="89">
        <f>SUM(E96:E97)</f>
        <v>164674.76199999999</v>
      </c>
      <c r="F99" s="89"/>
      <c r="G99" s="87">
        <f>SUM(G96:G97)</f>
        <v>628962.61307999992</v>
      </c>
      <c r="H99" s="87">
        <f>SUM(H96:H97:H98)</f>
        <v>8134585.131000001</v>
      </c>
      <c r="I99" s="87">
        <v>6955.16</v>
      </c>
      <c r="J99" s="87">
        <v>111800.37</v>
      </c>
      <c r="K99" s="87"/>
      <c r="L99" s="87"/>
      <c r="M99" s="87"/>
      <c r="N99" s="87"/>
      <c r="O99" s="87"/>
      <c r="P99" s="221" t="s">
        <v>192</v>
      </c>
      <c r="Q99" s="87"/>
      <c r="R99" s="49"/>
      <c r="S99" s="50"/>
    </row>
    <row r="100" spans="1:20" s="2" customFormat="1" ht="43.5" customHeight="1" x14ac:dyDescent="0.25">
      <c r="A100" s="19"/>
      <c r="B100" s="20"/>
      <c r="C100" s="175" t="s">
        <v>170</v>
      </c>
      <c r="D100" s="222" t="s">
        <v>218</v>
      </c>
      <c r="E100" s="93">
        <v>3778.0569999999998</v>
      </c>
      <c r="F100" s="94">
        <v>5.91</v>
      </c>
      <c r="G100" s="94">
        <f>6955.16+1125.045*5.91</f>
        <v>13604.175950000001</v>
      </c>
      <c r="H100" s="94">
        <f>111800.37+1125.045*95</f>
        <v>218679.64500000002</v>
      </c>
      <c r="I100" s="94">
        <f>2653.012*5.91</f>
        <v>15679.300920000001</v>
      </c>
      <c r="J100" s="94">
        <f>2653.012*95</f>
        <v>252036.14</v>
      </c>
      <c r="K100" s="94"/>
      <c r="L100" s="94"/>
      <c r="M100" s="94"/>
      <c r="N100" s="94"/>
      <c r="O100" s="94"/>
      <c r="P100" s="220" t="s">
        <v>224</v>
      </c>
      <c r="Q100" s="94"/>
      <c r="R100" s="52"/>
      <c r="S100" s="47"/>
    </row>
    <row r="101" spans="1:20" s="2" customFormat="1" ht="43.5" customHeight="1" x14ac:dyDescent="0.25">
      <c r="A101" s="19"/>
      <c r="B101" s="20"/>
      <c r="D101" s="175" t="s">
        <v>220</v>
      </c>
      <c r="E101" s="93">
        <v>6.64</v>
      </c>
      <c r="F101" s="93"/>
      <c r="G101" s="94"/>
      <c r="H101" s="94"/>
      <c r="I101" s="94"/>
      <c r="J101" s="94"/>
      <c r="K101" s="94"/>
      <c r="L101" s="94"/>
      <c r="M101" s="94"/>
      <c r="N101" s="94"/>
      <c r="O101" s="94"/>
      <c r="P101" s="220"/>
      <c r="Q101" s="94"/>
      <c r="R101" s="52"/>
      <c r="S101" s="47"/>
    </row>
    <row r="102" spans="1:20" s="1" customFormat="1" ht="43.5" customHeight="1" x14ac:dyDescent="0.25">
      <c r="A102" s="17"/>
      <c r="B102" s="18"/>
      <c r="C102" s="171" t="s">
        <v>60</v>
      </c>
      <c r="D102" s="113" t="s">
        <v>219</v>
      </c>
      <c r="E102" s="89">
        <f>SUM(E99:E100:E101)</f>
        <v>168459.459</v>
      </c>
      <c r="F102" s="89"/>
      <c r="G102" s="87">
        <f>SUM(G99:G100)</f>
        <v>642566.78902999987</v>
      </c>
      <c r="H102" s="87">
        <f>SUM(H99:H100)</f>
        <v>8353264.7760000005</v>
      </c>
      <c r="I102" s="87">
        <v>15679.3</v>
      </c>
      <c r="J102" s="87">
        <v>252036.14</v>
      </c>
      <c r="K102" s="87"/>
      <c r="L102" s="87"/>
      <c r="M102" s="87"/>
      <c r="N102" s="87"/>
      <c r="O102" s="87"/>
      <c r="P102" s="221" t="s">
        <v>222</v>
      </c>
      <c r="Q102" s="87"/>
      <c r="R102" s="49"/>
      <c r="S102" s="50"/>
    </row>
    <row r="103" spans="1:20" s="236" customFormat="1" ht="43.5" customHeight="1" x14ac:dyDescent="0.25">
      <c r="A103" s="229"/>
      <c r="B103" s="230"/>
      <c r="C103" s="175" t="s">
        <v>170</v>
      </c>
      <c r="D103" s="222" t="s">
        <v>227</v>
      </c>
      <c r="E103" s="231">
        <v>3510.0920000000001</v>
      </c>
      <c r="F103" s="94">
        <v>5.91</v>
      </c>
      <c r="G103" s="232">
        <f>15679.3+2468.895*5.91</f>
        <v>30270.469449999997</v>
      </c>
      <c r="H103" s="232">
        <f>252036.14+2468.895*95</f>
        <v>486581.16500000004</v>
      </c>
      <c r="I103" s="232">
        <f>1041.197*5.91</f>
        <v>6153.4742699999997</v>
      </c>
      <c r="J103" s="232">
        <f>1041.197*95</f>
        <v>98913.714999999997</v>
      </c>
      <c r="K103" s="232"/>
      <c r="L103" s="232"/>
      <c r="M103" s="232"/>
      <c r="N103" s="232"/>
      <c r="O103" s="232"/>
      <c r="P103" s="233"/>
      <c r="Q103" s="232"/>
      <c r="R103" s="234"/>
      <c r="S103" s="235"/>
    </row>
    <row r="104" spans="1:20" s="1" customFormat="1" ht="43.5" customHeight="1" x14ac:dyDescent="0.25">
      <c r="A104" s="17"/>
      <c r="B104" s="18"/>
      <c r="C104" s="171" t="s">
        <v>60</v>
      </c>
      <c r="D104" s="113" t="s">
        <v>228</v>
      </c>
      <c r="E104" s="89">
        <f>SUM(E102:E103)</f>
        <v>171969.55100000001</v>
      </c>
      <c r="F104" s="89"/>
      <c r="G104" s="87">
        <f>SUM(G102:G103)</f>
        <v>672837.25847999984</v>
      </c>
      <c r="H104" s="87">
        <f>SUM(H102:H103)</f>
        <v>8839845.9409999996</v>
      </c>
      <c r="I104" s="87">
        <v>6153.47</v>
      </c>
      <c r="J104" s="87">
        <v>98913.72</v>
      </c>
      <c r="K104" s="87"/>
      <c r="L104" s="87"/>
      <c r="M104" s="87"/>
      <c r="N104" s="87"/>
      <c r="O104" s="87"/>
      <c r="P104" s="221" t="s">
        <v>222</v>
      </c>
      <c r="Q104" s="87"/>
      <c r="R104" s="49"/>
      <c r="S104" s="50"/>
    </row>
    <row r="105" spans="1:20" s="2" customFormat="1" x14ac:dyDescent="0.25">
      <c r="A105" s="22"/>
      <c r="B105" s="23"/>
      <c r="C105" s="108"/>
      <c r="D105" s="109"/>
      <c r="E105" s="107"/>
      <c r="F105" s="53"/>
      <c r="G105" s="35"/>
      <c r="H105" s="35"/>
      <c r="I105" s="35"/>
      <c r="J105" s="35"/>
      <c r="K105" s="35"/>
      <c r="L105" s="35"/>
      <c r="M105" s="35"/>
      <c r="N105" s="36"/>
      <c r="O105" s="36"/>
      <c r="P105" s="33"/>
      <c r="Q105" s="36"/>
      <c r="R105" s="54"/>
      <c r="S105" s="55"/>
    </row>
    <row r="106" spans="1:20" s="2" customFormat="1" ht="43.5" customHeight="1" x14ac:dyDescent="0.25">
      <c r="A106" s="19"/>
      <c r="B106" s="115" t="s">
        <v>22</v>
      </c>
      <c r="C106" s="116" t="s">
        <v>59</v>
      </c>
      <c r="D106" s="117">
        <v>2011</v>
      </c>
      <c r="E106" s="90">
        <v>4985</v>
      </c>
      <c r="F106" s="94"/>
      <c r="G106" s="94"/>
      <c r="H106" s="118">
        <v>14916.36</v>
      </c>
      <c r="I106" s="94"/>
      <c r="J106" s="118"/>
      <c r="K106" s="118"/>
      <c r="L106" s="94"/>
      <c r="M106" s="94"/>
      <c r="N106" s="95"/>
      <c r="O106" s="95"/>
      <c r="P106" s="94">
        <v>0</v>
      </c>
      <c r="Q106" s="30"/>
      <c r="R106" s="56"/>
      <c r="S106" s="47"/>
    </row>
    <row r="107" spans="1:20" ht="27.75" customHeight="1" x14ac:dyDescent="0.25">
      <c r="A107" s="15"/>
      <c r="B107" s="119"/>
      <c r="C107" s="116" t="s">
        <v>59</v>
      </c>
      <c r="D107" s="120">
        <v>2012</v>
      </c>
      <c r="E107" s="83">
        <v>4921.9399999999996</v>
      </c>
      <c r="F107" s="84"/>
      <c r="G107" s="118">
        <v>12766.42</v>
      </c>
      <c r="H107" s="118">
        <v>43460.44</v>
      </c>
      <c r="I107" s="85"/>
      <c r="J107" s="85"/>
      <c r="K107" s="84"/>
      <c r="L107" s="84"/>
      <c r="M107" s="84"/>
      <c r="N107" s="121"/>
      <c r="O107" s="121"/>
      <c r="P107" s="94">
        <v>0</v>
      </c>
      <c r="Q107" s="45"/>
      <c r="R107" s="57"/>
      <c r="S107" s="51"/>
    </row>
    <row r="108" spans="1:20" ht="36.75" customHeight="1" x14ac:dyDescent="0.25">
      <c r="A108" s="17"/>
      <c r="B108" s="122"/>
      <c r="C108" s="123" t="s">
        <v>59</v>
      </c>
      <c r="D108" s="96" t="s">
        <v>25</v>
      </c>
      <c r="E108" s="89">
        <v>9906.94</v>
      </c>
      <c r="F108" s="89"/>
      <c r="G108" s="87">
        <v>12766.42</v>
      </c>
      <c r="H108" s="87">
        <v>58376.800000000003</v>
      </c>
      <c r="I108" s="87"/>
      <c r="J108" s="87"/>
      <c r="K108" s="87"/>
      <c r="L108" s="87"/>
      <c r="M108" s="87"/>
      <c r="N108" s="124"/>
      <c r="O108" s="124"/>
      <c r="P108" s="87">
        <v>0</v>
      </c>
      <c r="Q108" s="48"/>
      <c r="R108" s="58"/>
      <c r="S108" s="50"/>
      <c r="T108" s="3"/>
    </row>
    <row r="109" spans="1:20" ht="25.5" x14ac:dyDescent="0.25">
      <c r="A109" s="15"/>
      <c r="B109" s="119"/>
      <c r="C109" s="116" t="s">
        <v>59</v>
      </c>
      <c r="D109" s="97">
        <v>2013</v>
      </c>
      <c r="E109" s="83">
        <v>4781</v>
      </c>
      <c r="F109" s="84"/>
      <c r="G109" s="118">
        <v>12615.76</v>
      </c>
      <c r="H109" s="118">
        <v>71680.5</v>
      </c>
      <c r="I109" s="118"/>
      <c r="J109" s="118"/>
      <c r="K109" s="84"/>
      <c r="L109" s="84"/>
      <c r="M109" s="84"/>
      <c r="N109" s="121"/>
      <c r="O109" s="121"/>
      <c r="P109" s="94">
        <v>0</v>
      </c>
      <c r="Q109" s="45"/>
      <c r="R109" s="57"/>
      <c r="S109" s="51"/>
    </row>
    <row r="110" spans="1:20" ht="36" customHeight="1" x14ac:dyDescent="0.25">
      <c r="A110" s="17"/>
      <c r="B110" s="122"/>
      <c r="C110" s="123" t="s">
        <v>59</v>
      </c>
      <c r="D110" s="96" t="s">
        <v>38</v>
      </c>
      <c r="E110" s="126">
        <v>14687.94</v>
      </c>
      <c r="F110" s="87"/>
      <c r="G110" s="87">
        <v>25382.18</v>
      </c>
      <c r="H110" s="87">
        <v>130057.3</v>
      </c>
      <c r="I110" s="87"/>
      <c r="J110" s="87"/>
      <c r="K110" s="87"/>
      <c r="L110" s="87"/>
      <c r="M110" s="87"/>
      <c r="N110" s="124"/>
      <c r="O110" s="124"/>
      <c r="P110" s="87">
        <v>0</v>
      </c>
      <c r="Q110" s="48"/>
      <c r="R110" s="58"/>
      <c r="S110" s="50"/>
    </row>
    <row r="111" spans="1:20" ht="25.5" x14ac:dyDescent="0.25">
      <c r="A111" s="15"/>
      <c r="B111" s="119"/>
      <c r="C111" s="116" t="s">
        <v>59</v>
      </c>
      <c r="D111" s="97">
        <v>2014</v>
      </c>
      <c r="E111" s="127">
        <v>4750</v>
      </c>
      <c r="F111" s="84"/>
      <c r="G111" s="182">
        <v>9911.66</v>
      </c>
      <c r="H111" s="182">
        <v>82539.539999999994</v>
      </c>
      <c r="I111" s="128"/>
      <c r="J111" s="125"/>
      <c r="K111" s="84"/>
      <c r="L111" s="84"/>
      <c r="M111" s="84"/>
      <c r="N111" s="121"/>
      <c r="O111" s="121"/>
      <c r="P111" s="94">
        <v>0</v>
      </c>
      <c r="Q111" s="45"/>
      <c r="R111" s="57"/>
      <c r="S111" s="51"/>
    </row>
    <row r="112" spans="1:20" ht="38.25" customHeight="1" x14ac:dyDescent="0.25">
      <c r="A112" s="17"/>
      <c r="B112" s="122"/>
      <c r="C112" s="123" t="s">
        <v>59</v>
      </c>
      <c r="D112" s="96" t="s">
        <v>24</v>
      </c>
      <c r="E112" s="126">
        <v>19437.939999999999</v>
      </c>
      <c r="F112" s="87"/>
      <c r="G112" s="87">
        <v>35293.839999999997</v>
      </c>
      <c r="H112" s="87">
        <v>212596.84</v>
      </c>
      <c r="I112" s="87"/>
      <c r="J112" s="87"/>
      <c r="K112" s="87"/>
      <c r="L112" s="87"/>
      <c r="M112" s="87"/>
      <c r="N112" s="124"/>
      <c r="O112" s="124"/>
      <c r="P112" s="87">
        <v>0</v>
      </c>
      <c r="Q112" s="48"/>
      <c r="R112" s="58"/>
      <c r="S112" s="50"/>
    </row>
    <row r="113" spans="1:19" ht="29.25" customHeight="1" x14ac:dyDescent="0.25">
      <c r="A113" s="15"/>
      <c r="B113" s="119"/>
      <c r="C113" s="116" t="s">
        <v>59</v>
      </c>
      <c r="D113" s="97">
        <v>2015</v>
      </c>
      <c r="E113" s="91">
        <v>3202.79</v>
      </c>
      <c r="F113" s="84">
        <v>2.64</v>
      </c>
      <c r="G113" s="106">
        <f>E113*F113</f>
        <v>8455.365600000001</v>
      </c>
      <c r="H113" s="106">
        <v>89678.12</v>
      </c>
      <c r="I113" s="92"/>
      <c r="J113" s="92"/>
      <c r="K113" s="84"/>
      <c r="L113" s="84"/>
      <c r="M113" s="84"/>
      <c r="N113" s="121"/>
      <c r="O113" s="121"/>
      <c r="P113" s="84" t="s">
        <v>55</v>
      </c>
      <c r="Q113" s="45"/>
      <c r="R113" s="57"/>
      <c r="S113" s="51"/>
    </row>
    <row r="114" spans="1:19" ht="39" customHeight="1" x14ac:dyDescent="0.25">
      <c r="A114" s="17"/>
      <c r="B114" s="122"/>
      <c r="C114" s="123" t="s">
        <v>59</v>
      </c>
      <c r="D114" s="96" t="s">
        <v>26</v>
      </c>
      <c r="E114" s="126">
        <v>22640.73</v>
      </c>
      <c r="F114" s="87"/>
      <c r="G114" s="87">
        <v>43749.21</v>
      </c>
      <c r="H114" s="87">
        <v>302274.96000000002</v>
      </c>
      <c r="I114" s="87"/>
      <c r="J114" s="87"/>
      <c r="K114" s="87"/>
      <c r="L114" s="87"/>
      <c r="M114" s="87"/>
      <c r="N114" s="124"/>
      <c r="O114" s="124"/>
      <c r="P114" s="87" t="s">
        <v>55</v>
      </c>
      <c r="Q114" s="48"/>
      <c r="R114" s="58"/>
      <c r="S114" s="50"/>
    </row>
    <row r="115" spans="1:19" ht="32.25" customHeight="1" x14ac:dyDescent="0.25">
      <c r="A115" s="15"/>
      <c r="B115" s="119"/>
      <c r="C115" s="116" t="s">
        <v>59</v>
      </c>
      <c r="D115" s="99" t="s">
        <v>29</v>
      </c>
      <c r="E115" s="91">
        <v>846.61599999999999</v>
      </c>
      <c r="F115" s="92">
        <v>5.91</v>
      </c>
      <c r="G115" s="94">
        <f>E115*F115</f>
        <v>5003.5005600000004</v>
      </c>
      <c r="H115" s="94">
        <v>30478.175999999999</v>
      </c>
      <c r="I115" s="84"/>
      <c r="J115" s="84"/>
      <c r="K115" s="84"/>
      <c r="L115" s="84"/>
      <c r="M115" s="84"/>
      <c r="N115" s="121"/>
      <c r="O115" s="121"/>
      <c r="P115" s="84">
        <v>0</v>
      </c>
      <c r="Q115" s="45"/>
      <c r="R115" s="57"/>
      <c r="S115" s="51"/>
    </row>
    <row r="116" spans="1:19" ht="38.25" x14ac:dyDescent="0.25">
      <c r="A116" s="17"/>
      <c r="B116" s="122"/>
      <c r="C116" s="123" t="s">
        <v>59</v>
      </c>
      <c r="D116" s="100" t="s">
        <v>30</v>
      </c>
      <c r="E116" s="126">
        <v>23487.346000000001</v>
      </c>
      <c r="F116" s="87"/>
      <c r="G116" s="87">
        <v>48752.71</v>
      </c>
      <c r="H116" s="87">
        <v>332753.14</v>
      </c>
      <c r="I116" s="87"/>
      <c r="J116" s="87"/>
      <c r="K116" s="87"/>
      <c r="L116" s="87"/>
      <c r="M116" s="87"/>
      <c r="N116" s="124"/>
      <c r="O116" s="124"/>
      <c r="P116" s="87" t="s">
        <v>55</v>
      </c>
      <c r="Q116" s="48"/>
      <c r="R116" s="58"/>
      <c r="S116" s="50"/>
    </row>
    <row r="117" spans="1:19" ht="25.5" x14ac:dyDescent="0.25">
      <c r="A117" s="15"/>
      <c r="B117" s="119"/>
      <c r="C117" s="116" t="s">
        <v>59</v>
      </c>
      <c r="D117" s="99" t="s">
        <v>31</v>
      </c>
      <c r="E117" s="91">
        <v>907.40300000000002</v>
      </c>
      <c r="F117" s="92">
        <v>5.91</v>
      </c>
      <c r="G117" s="94">
        <f>E117*F117</f>
        <v>5362.75173</v>
      </c>
      <c r="H117" s="94">
        <v>32666.508000000002</v>
      </c>
      <c r="I117" s="84"/>
      <c r="J117" s="84"/>
      <c r="K117" s="84"/>
      <c r="L117" s="84"/>
      <c r="M117" s="84"/>
      <c r="N117" s="121"/>
      <c r="O117" s="121"/>
      <c r="P117" s="84">
        <v>0</v>
      </c>
      <c r="Q117" s="45"/>
      <c r="R117" s="57"/>
      <c r="S117" s="51"/>
    </row>
    <row r="118" spans="1:19" ht="38.25" x14ac:dyDescent="0.25">
      <c r="A118" s="15"/>
      <c r="B118" s="119"/>
      <c r="C118" s="101" t="s">
        <v>39</v>
      </c>
      <c r="D118" s="104"/>
      <c r="E118" s="91">
        <v>23.4</v>
      </c>
      <c r="F118" s="84">
        <v>0</v>
      </c>
      <c r="G118" s="94">
        <v>0</v>
      </c>
      <c r="H118" s="94">
        <v>0</v>
      </c>
      <c r="I118" s="84"/>
      <c r="J118" s="84"/>
      <c r="K118" s="84"/>
      <c r="L118" s="84"/>
      <c r="M118" s="84"/>
      <c r="N118" s="121"/>
      <c r="O118" s="121"/>
      <c r="P118" s="84"/>
      <c r="Q118" s="45"/>
      <c r="R118" s="57"/>
      <c r="S118" s="51"/>
    </row>
    <row r="119" spans="1:19" ht="38.25" x14ac:dyDescent="0.25">
      <c r="A119" s="17"/>
      <c r="B119" s="122"/>
      <c r="C119" s="123" t="s">
        <v>59</v>
      </c>
      <c r="D119" s="100" t="s">
        <v>32</v>
      </c>
      <c r="E119" s="126">
        <v>24418.149000000001</v>
      </c>
      <c r="F119" s="87"/>
      <c r="G119" s="87">
        <v>54115.46</v>
      </c>
      <c r="H119" s="87">
        <v>365419.65</v>
      </c>
      <c r="I119" s="87"/>
      <c r="J119" s="87"/>
      <c r="K119" s="87"/>
      <c r="L119" s="87"/>
      <c r="M119" s="87"/>
      <c r="N119" s="124"/>
      <c r="O119" s="124"/>
      <c r="P119" s="87" t="s">
        <v>55</v>
      </c>
      <c r="Q119" s="48"/>
      <c r="R119" s="58"/>
      <c r="S119" s="50"/>
    </row>
    <row r="120" spans="1:19" ht="25.5" x14ac:dyDescent="0.25">
      <c r="A120" s="15"/>
      <c r="B120" s="119"/>
      <c r="C120" s="116" t="s">
        <v>59</v>
      </c>
      <c r="D120" s="99" t="s">
        <v>33</v>
      </c>
      <c r="E120" s="91">
        <v>916.74900000000002</v>
      </c>
      <c r="F120" s="92">
        <v>5.91</v>
      </c>
      <c r="G120" s="94">
        <f>E120*F120</f>
        <v>5417.9865900000004</v>
      </c>
      <c r="H120" s="94">
        <v>33002.959999999999</v>
      </c>
      <c r="I120" s="84"/>
      <c r="J120" s="84"/>
      <c r="K120" s="84"/>
      <c r="L120" s="84"/>
      <c r="M120" s="84"/>
      <c r="N120" s="121"/>
      <c r="O120" s="121"/>
      <c r="P120" s="84">
        <v>4800</v>
      </c>
      <c r="Q120" s="45"/>
      <c r="R120" s="57"/>
      <c r="S120" s="51"/>
    </row>
    <row r="121" spans="1:19" ht="38.25" x14ac:dyDescent="0.25">
      <c r="A121" s="17"/>
      <c r="B121" s="122"/>
      <c r="C121" s="123" t="s">
        <v>59</v>
      </c>
      <c r="D121" s="100" t="s">
        <v>35</v>
      </c>
      <c r="E121" s="126">
        <v>25334.898000000001</v>
      </c>
      <c r="F121" s="87"/>
      <c r="G121" s="87">
        <v>59533.45</v>
      </c>
      <c r="H121" s="87">
        <v>398422.61</v>
      </c>
      <c r="I121" s="87"/>
      <c r="J121" s="87"/>
      <c r="K121" s="87"/>
      <c r="L121" s="87"/>
      <c r="M121" s="87"/>
      <c r="N121" s="124"/>
      <c r="O121" s="124"/>
      <c r="P121" s="87">
        <v>172903.94</v>
      </c>
      <c r="Q121" s="48"/>
      <c r="R121" s="58"/>
      <c r="S121" s="50"/>
    </row>
    <row r="122" spans="1:19" ht="25.5" x14ac:dyDescent="0.25">
      <c r="A122" s="15"/>
      <c r="B122" s="119"/>
      <c r="C122" s="116" t="s">
        <v>59</v>
      </c>
      <c r="D122" s="99" t="s">
        <v>34</v>
      </c>
      <c r="E122" s="130">
        <v>855.72699999999998</v>
      </c>
      <c r="F122" s="92">
        <v>5.91</v>
      </c>
      <c r="G122" s="94">
        <f>E122*F122</f>
        <v>5057.3465699999997</v>
      </c>
      <c r="H122" s="94">
        <v>30806.171999999999</v>
      </c>
      <c r="I122" s="84"/>
      <c r="J122" s="84"/>
      <c r="K122" s="84"/>
      <c r="L122" s="84"/>
      <c r="M122" s="84"/>
      <c r="N122" s="121"/>
      <c r="O122" s="121"/>
      <c r="P122" s="84">
        <v>78932.399999999994</v>
      </c>
      <c r="Q122" s="45"/>
      <c r="R122" s="57"/>
      <c r="S122" s="51"/>
    </row>
    <row r="123" spans="1:19" ht="38.25" x14ac:dyDescent="0.25">
      <c r="A123" s="17"/>
      <c r="B123" s="122"/>
      <c r="C123" s="123" t="s">
        <v>59</v>
      </c>
      <c r="D123" s="100" t="s">
        <v>36</v>
      </c>
      <c r="E123" s="126">
        <v>26190.625</v>
      </c>
      <c r="F123" s="87"/>
      <c r="G123" s="87">
        <v>64590.8</v>
      </c>
      <c r="H123" s="87">
        <v>429228.78</v>
      </c>
      <c r="I123" s="87"/>
      <c r="J123" s="87"/>
      <c r="K123" s="87"/>
      <c r="L123" s="87"/>
      <c r="M123" s="87"/>
      <c r="N123" s="124"/>
      <c r="O123" s="124"/>
      <c r="P123" s="87">
        <v>251836.34</v>
      </c>
      <c r="Q123" s="48"/>
      <c r="R123" s="58"/>
      <c r="S123" s="50"/>
    </row>
    <row r="124" spans="1:19" s="2" customFormat="1" ht="25.5" x14ac:dyDescent="0.25">
      <c r="A124" s="19"/>
      <c r="B124" s="129"/>
      <c r="C124" s="116" t="s">
        <v>59</v>
      </c>
      <c r="D124" s="99" t="s">
        <v>57</v>
      </c>
      <c r="E124" s="130">
        <v>705.48800000000006</v>
      </c>
      <c r="F124" s="94">
        <v>5.91</v>
      </c>
      <c r="G124" s="94">
        <v>4965.6000000000004</v>
      </c>
      <c r="H124" s="94">
        <v>32769.919999999998</v>
      </c>
      <c r="I124" s="94"/>
      <c r="J124" s="94"/>
      <c r="K124" s="94"/>
      <c r="L124" s="94"/>
      <c r="M124" s="94"/>
      <c r="N124" s="95"/>
      <c r="O124" s="95"/>
      <c r="P124" s="94">
        <v>88532.4</v>
      </c>
      <c r="Q124" s="30"/>
      <c r="R124" s="56"/>
      <c r="S124" s="47"/>
    </row>
    <row r="125" spans="1:19" ht="38.25" x14ac:dyDescent="0.25">
      <c r="A125" s="17"/>
      <c r="B125" s="122"/>
      <c r="C125" s="123" t="s">
        <v>59</v>
      </c>
      <c r="D125" s="100" t="s">
        <v>58</v>
      </c>
      <c r="E125" s="126">
        <v>26896.133000000002</v>
      </c>
      <c r="F125" s="126"/>
      <c r="G125" s="105">
        <f>SUM(G123:G124)</f>
        <v>69556.400000000009</v>
      </c>
      <c r="H125" s="105">
        <f t="shared" ref="H125" si="24">SUM(H123:H124)</f>
        <v>461998.7</v>
      </c>
      <c r="I125" s="105"/>
      <c r="J125" s="105"/>
      <c r="K125" s="105"/>
      <c r="L125" s="87"/>
      <c r="M125" s="87"/>
      <c r="N125" s="124"/>
      <c r="O125" s="124"/>
      <c r="P125" s="87">
        <f>SUM(P123:P124)</f>
        <v>340368.74</v>
      </c>
      <c r="Q125" s="48"/>
      <c r="R125" s="58"/>
      <c r="S125" s="50"/>
    </row>
    <row r="126" spans="1:19" s="2" customFormat="1" ht="25.5" x14ac:dyDescent="0.25">
      <c r="A126" s="19"/>
      <c r="B126" s="129"/>
      <c r="C126" s="131" t="s">
        <v>59</v>
      </c>
      <c r="D126" s="99" t="s">
        <v>61</v>
      </c>
      <c r="E126" s="130">
        <v>916.58799999999997</v>
      </c>
      <c r="F126" s="94">
        <v>5.91</v>
      </c>
      <c r="G126" s="94">
        <f t="shared" ref="G126:G128" si="25">E126*F126</f>
        <v>5417.0350799999997</v>
      </c>
      <c r="H126" s="106">
        <v>36663.519999999997</v>
      </c>
      <c r="I126" s="106"/>
      <c r="J126" s="106"/>
      <c r="K126" s="106"/>
      <c r="L126" s="94"/>
      <c r="M126" s="94"/>
      <c r="N126" s="95"/>
      <c r="O126" s="95"/>
      <c r="P126" s="94">
        <v>0</v>
      </c>
      <c r="Q126" s="30"/>
      <c r="R126" s="56"/>
      <c r="S126" s="47"/>
    </row>
    <row r="127" spans="1:19" ht="38.25" x14ac:dyDescent="0.25">
      <c r="A127" s="17"/>
      <c r="B127" s="122"/>
      <c r="C127" s="123" t="s">
        <v>59</v>
      </c>
      <c r="D127" s="100" t="s">
        <v>63</v>
      </c>
      <c r="E127" s="126">
        <v>27812.721000000001</v>
      </c>
      <c r="F127" s="126"/>
      <c r="G127" s="105">
        <f>SUM(G125:G126)</f>
        <v>74973.43508000001</v>
      </c>
      <c r="H127" s="105">
        <f t="shared" ref="H127" si="26">SUM(H125:H126)</f>
        <v>498662.22000000003</v>
      </c>
      <c r="I127" s="105"/>
      <c r="J127" s="105"/>
      <c r="K127" s="105"/>
      <c r="L127" s="87"/>
      <c r="M127" s="87"/>
      <c r="N127" s="124"/>
      <c r="O127" s="124"/>
      <c r="P127" s="87">
        <v>340368.74</v>
      </c>
      <c r="Q127" s="48"/>
      <c r="R127" s="58"/>
      <c r="S127" s="50"/>
    </row>
    <row r="128" spans="1:19" s="2" customFormat="1" ht="25.5" x14ac:dyDescent="0.25">
      <c r="A128" s="19"/>
      <c r="B128" s="129"/>
      <c r="C128" s="131" t="s">
        <v>59</v>
      </c>
      <c r="D128" s="99" t="s">
        <v>64</v>
      </c>
      <c r="E128" s="130">
        <v>1154.587</v>
      </c>
      <c r="F128" s="94">
        <v>5.91</v>
      </c>
      <c r="G128" s="94">
        <f t="shared" si="25"/>
        <v>6823.6091699999997</v>
      </c>
      <c r="H128" s="106">
        <v>46183.48</v>
      </c>
      <c r="I128" s="106"/>
      <c r="J128" s="106"/>
      <c r="K128" s="106"/>
      <c r="L128" s="94"/>
      <c r="M128" s="94"/>
      <c r="N128" s="95"/>
      <c r="O128" s="95"/>
      <c r="P128" s="94">
        <v>0</v>
      </c>
      <c r="Q128" s="30"/>
      <c r="R128" s="56"/>
      <c r="S128" s="47"/>
    </row>
    <row r="129" spans="1:19" s="2" customFormat="1" ht="38.25" x14ac:dyDescent="0.25">
      <c r="A129" s="19"/>
      <c r="B129" s="129"/>
      <c r="C129" s="131" t="s">
        <v>39</v>
      </c>
      <c r="D129" s="104"/>
      <c r="E129" s="130">
        <v>25.26</v>
      </c>
      <c r="F129" s="106">
        <v>0</v>
      </c>
      <c r="G129" s="106">
        <v>0</v>
      </c>
      <c r="H129" s="106">
        <v>0</v>
      </c>
      <c r="I129" s="106"/>
      <c r="J129" s="106"/>
      <c r="K129" s="106"/>
      <c r="L129" s="94"/>
      <c r="M129" s="94"/>
      <c r="N129" s="95"/>
      <c r="O129" s="95"/>
      <c r="P129" s="94"/>
      <c r="Q129" s="30"/>
      <c r="R129" s="56"/>
      <c r="S129" s="47"/>
    </row>
    <row r="130" spans="1:19" ht="38.25" x14ac:dyDescent="0.25">
      <c r="A130" s="17"/>
      <c r="B130" s="122"/>
      <c r="C130" s="132" t="s">
        <v>59</v>
      </c>
      <c r="D130" s="100" t="s">
        <v>65</v>
      </c>
      <c r="E130" s="126">
        <v>28992.547999999999</v>
      </c>
      <c r="F130" s="126"/>
      <c r="G130" s="105">
        <f>SUM(G127:G128)</f>
        <v>81797.044250000006</v>
      </c>
      <c r="H130" s="105">
        <f t="shared" ref="H130" si="27">SUM(H127:H128)</f>
        <v>544845.70000000007</v>
      </c>
      <c r="I130" s="105"/>
      <c r="J130" s="105"/>
      <c r="K130" s="105"/>
      <c r="L130" s="87"/>
      <c r="M130" s="87"/>
      <c r="N130" s="124"/>
      <c r="O130" s="124"/>
      <c r="P130" s="87">
        <v>340368.74</v>
      </c>
      <c r="Q130" s="48"/>
      <c r="R130" s="58"/>
      <c r="S130" s="50"/>
    </row>
    <row r="131" spans="1:19" s="2" customFormat="1" ht="29.25" customHeight="1" x14ac:dyDescent="0.25">
      <c r="A131" s="19"/>
      <c r="B131" s="129"/>
      <c r="C131" s="131" t="s">
        <v>59</v>
      </c>
      <c r="D131" s="99" t="s">
        <v>70</v>
      </c>
      <c r="E131" s="130">
        <v>962.755</v>
      </c>
      <c r="F131" s="94">
        <v>5.91</v>
      </c>
      <c r="G131" s="106">
        <v>4893.72</v>
      </c>
      <c r="H131" s="106">
        <v>33959.699999999997</v>
      </c>
      <c r="I131" s="106"/>
      <c r="J131" s="106"/>
      <c r="K131" s="106"/>
      <c r="L131" s="94"/>
      <c r="M131" s="94"/>
      <c r="N131" s="95"/>
      <c r="O131" s="95"/>
      <c r="P131" s="94">
        <v>0</v>
      </c>
      <c r="Q131" s="30"/>
      <c r="R131" s="56"/>
      <c r="S131" s="47"/>
    </row>
    <row r="132" spans="1:19" ht="38.25" x14ac:dyDescent="0.25">
      <c r="A132" s="17"/>
      <c r="B132" s="122"/>
      <c r="C132" s="132" t="s">
        <v>59</v>
      </c>
      <c r="D132" s="100" t="s">
        <v>69</v>
      </c>
      <c r="E132" s="126">
        <v>29955.303</v>
      </c>
      <c r="F132" s="126"/>
      <c r="G132" s="105">
        <f t="shared" ref="G132:H132" si="28">SUM(G130:G131)</f>
        <v>86690.764250000007</v>
      </c>
      <c r="H132" s="105">
        <f t="shared" si="28"/>
        <v>578805.4</v>
      </c>
      <c r="I132" s="105"/>
      <c r="J132" s="105"/>
      <c r="K132" s="105"/>
      <c r="L132" s="87"/>
      <c r="M132" s="87"/>
      <c r="N132" s="124"/>
      <c r="O132" s="124"/>
      <c r="P132" s="87">
        <f>SUM(P130:P131)</f>
        <v>340368.74</v>
      </c>
      <c r="Q132" s="48"/>
      <c r="R132" s="58"/>
      <c r="S132" s="50"/>
    </row>
    <row r="133" spans="1:19" s="2" customFormat="1" ht="25.5" x14ac:dyDescent="0.25">
      <c r="A133" s="19"/>
      <c r="B133" s="129"/>
      <c r="C133" s="131" t="s">
        <v>59</v>
      </c>
      <c r="D133" s="99" t="s">
        <v>71</v>
      </c>
      <c r="E133" s="130">
        <v>707.91200000000003</v>
      </c>
      <c r="F133" s="94">
        <v>5.91</v>
      </c>
      <c r="G133" s="106">
        <f>E133*F133</f>
        <v>4183.7599200000004</v>
      </c>
      <c r="H133" s="106">
        <f>E133*45</f>
        <v>31856.04</v>
      </c>
      <c r="I133" s="106"/>
      <c r="J133" s="106"/>
      <c r="K133" s="106"/>
      <c r="L133" s="94"/>
      <c r="M133" s="94"/>
      <c r="N133" s="95"/>
      <c r="O133" s="95"/>
      <c r="P133" s="94">
        <v>129332.4</v>
      </c>
      <c r="Q133" s="30"/>
      <c r="R133" s="56"/>
      <c r="S133" s="47"/>
    </row>
    <row r="134" spans="1:19" ht="42" customHeight="1" x14ac:dyDescent="0.25">
      <c r="A134" s="17"/>
      <c r="B134" s="122"/>
      <c r="C134" s="132" t="s">
        <v>59</v>
      </c>
      <c r="D134" s="100" t="s">
        <v>72</v>
      </c>
      <c r="E134" s="126">
        <f>SUM(E132:E133)</f>
        <v>30663.215</v>
      </c>
      <c r="F134" s="126"/>
      <c r="G134" s="105">
        <f>SUM(G132:G133)</f>
        <v>90874.524170000004</v>
      </c>
      <c r="H134" s="105">
        <f>SUM(H132:H133)</f>
        <v>610661.44000000006</v>
      </c>
      <c r="I134" s="105"/>
      <c r="J134" s="105"/>
      <c r="K134" s="105"/>
      <c r="L134" s="87"/>
      <c r="M134" s="87"/>
      <c r="N134" s="124"/>
      <c r="O134" s="124"/>
      <c r="P134" s="87">
        <f>SUM(P132:P133)</f>
        <v>469701.14</v>
      </c>
      <c r="Q134" s="48"/>
      <c r="R134" s="58"/>
      <c r="S134" s="50"/>
    </row>
    <row r="135" spans="1:19" s="2" customFormat="1" ht="33" customHeight="1" x14ac:dyDescent="0.25">
      <c r="A135" s="19"/>
      <c r="B135" s="129"/>
      <c r="C135" s="131" t="s">
        <v>59</v>
      </c>
      <c r="D135" s="99" t="s">
        <v>73</v>
      </c>
      <c r="E135" s="130">
        <v>1022.022</v>
      </c>
      <c r="F135" s="94">
        <v>5.91</v>
      </c>
      <c r="G135" s="106">
        <f>E135*F135</f>
        <v>6040.15002</v>
      </c>
      <c r="H135" s="106">
        <f>E135*45</f>
        <v>45990.990000000005</v>
      </c>
      <c r="I135" s="106"/>
      <c r="J135" s="106"/>
      <c r="K135" s="106"/>
      <c r="L135" s="94"/>
      <c r="M135" s="94"/>
      <c r="N135" s="95"/>
      <c r="O135" s="95"/>
      <c r="P135" s="94">
        <v>40385</v>
      </c>
      <c r="Q135" s="30"/>
      <c r="R135" s="56"/>
      <c r="S135" s="47"/>
    </row>
    <row r="136" spans="1:19" ht="42" customHeight="1" x14ac:dyDescent="0.25">
      <c r="A136" s="17"/>
      <c r="B136" s="122"/>
      <c r="C136" s="132" t="s">
        <v>59</v>
      </c>
      <c r="D136" s="100" t="s">
        <v>74</v>
      </c>
      <c r="E136" s="126">
        <f>SUM(E134:E135)</f>
        <v>31685.237000000001</v>
      </c>
      <c r="F136" s="126"/>
      <c r="G136" s="105">
        <f>SUM(G134:G135)</f>
        <v>96914.674190000005</v>
      </c>
      <c r="H136" s="105">
        <f>SUM(H134:H135)</f>
        <v>656652.43000000005</v>
      </c>
      <c r="I136" s="105"/>
      <c r="J136" s="105"/>
      <c r="K136" s="105"/>
      <c r="L136" s="87"/>
      <c r="M136" s="87"/>
      <c r="N136" s="124"/>
      <c r="O136" s="124"/>
      <c r="P136" s="87">
        <f>SUM(P134:P135)</f>
        <v>510086.14</v>
      </c>
      <c r="Q136" s="48"/>
      <c r="R136" s="58"/>
      <c r="S136" s="50"/>
    </row>
    <row r="137" spans="1:19" s="2" customFormat="1" ht="27" customHeight="1" x14ac:dyDescent="0.25">
      <c r="A137" s="19"/>
      <c r="B137" s="129"/>
      <c r="C137" s="131" t="s">
        <v>59</v>
      </c>
      <c r="D137" s="99" t="s">
        <v>76</v>
      </c>
      <c r="E137" s="130">
        <v>1091.2829999999999</v>
      </c>
      <c r="F137" s="94">
        <v>5.91</v>
      </c>
      <c r="G137" s="106">
        <f>E137*F137</f>
        <v>6449.4825299999993</v>
      </c>
      <c r="H137" s="106">
        <f>E137*45</f>
        <v>49107.734999999993</v>
      </c>
      <c r="I137" s="106"/>
      <c r="J137" s="106"/>
      <c r="K137" s="106"/>
      <c r="L137" s="94"/>
      <c r="M137" s="94"/>
      <c r="N137" s="95"/>
      <c r="O137" s="95"/>
      <c r="P137" s="94">
        <v>0</v>
      </c>
      <c r="Q137" s="30"/>
      <c r="R137" s="56"/>
      <c r="S137" s="47"/>
    </row>
    <row r="138" spans="1:19" s="2" customFormat="1" ht="42" customHeight="1" x14ac:dyDescent="0.25">
      <c r="A138" s="19"/>
      <c r="B138" s="129"/>
      <c r="C138" s="131" t="s">
        <v>39</v>
      </c>
      <c r="D138" s="104"/>
      <c r="E138" s="130">
        <v>25.85</v>
      </c>
      <c r="F138" s="94">
        <v>0</v>
      </c>
      <c r="G138" s="94">
        <v>0</v>
      </c>
      <c r="H138" s="94">
        <v>0</v>
      </c>
      <c r="I138" s="94"/>
      <c r="J138" s="94"/>
      <c r="K138" s="94"/>
      <c r="L138" s="94"/>
      <c r="M138" s="94"/>
      <c r="N138" s="95"/>
      <c r="O138" s="95"/>
      <c r="P138" s="94"/>
      <c r="Q138" s="30"/>
      <c r="R138" s="56"/>
      <c r="S138" s="47"/>
    </row>
    <row r="139" spans="1:19" ht="42" customHeight="1" x14ac:dyDescent="0.25">
      <c r="A139" s="17"/>
      <c r="B139" s="122"/>
      <c r="C139" s="132" t="s">
        <v>59</v>
      </c>
      <c r="D139" s="100" t="s">
        <v>77</v>
      </c>
      <c r="E139" s="126">
        <f>SUM(E136:E138)</f>
        <v>32802.370000000003</v>
      </c>
      <c r="F139" s="126"/>
      <c r="G139" s="105">
        <f t="shared" ref="G139:H139" si="29">SUM(G136:G138)</f>
        <v>103364.15672</v>
      </c>
      <c r="H139" s="105">
        <f t="shared" si="29"/>
        <v>705760.16500000004</v>
      </c>
      <c r="I139" s="105"/>
      <c r="J139" s="105"/>
      <c r="K139" s="105"/>
      <c r="L139" s="87"/>
      <c r="M139" s="87"/>
      <c r="N139" s="124"/>
      <c r="O139" s="124"/>
      <c r="P139" s="87">
        <f>SUM(P136:P138)</f>
        <v>510086.14</v>
      </c>
      <c r="Q139" s="48"/>
      <c r="R139" s="58"/>
      <c r="S139" s="50"/>
    </row>
    <row r="140" spans="1:19" s="2" customFormat="1" ht="29.25" customHeight="1" x14ac:dyDescent="0.25">
      <c r="A140" s="19"/>
      <c r="B140" s="129"/>
      <c r="C140" s="131" t="s">
        <v>59</v>
      </c>
      <c r="D140" s="99" t="s">
        <v>78</v>
      </c>
      <c r="E140" s="130">
        <v>862.673</v>
      </c>
      <c r="F140" s="94">
        <v>5.91</v>
      </c>
      <c r="G140" s="106">
        <f>E140*F140</f>
        <v>5098.39743</v>
      </c>
      <c r="H140" s="106">
        <f>E140*45</f>
        <v>38820.285000000003</v>
      </c>
      <c r="I140" s="106"/>
      <c r="J140" s="106"/>
      <c r="K140" s="106"/>
      <c r="L140" s="94"/>
      <c r="M140" s="94"/>
      <c r="N140" s="95"/>
      <c r="O140" s="95"/>
      <c r="P140" s="94">
        <v>15000</v>
      </c>
      <c r="Q140" s="30"/>
      <c r="R140" s="56"/>
      <c r="S140" s="47"/>
    </row>
    <row r="141" spans="1:19" ht="42" customHeight="1" x14ac:dyDescent="0.25">
      <c r="A141" s="17"/>
      <c r="B141" s="122"/>
      <c r="C141" s="132" t="s">
        <v>59</v>
      </c>
      <c r="D141" s="100" t="s">
        <v>79</v>
      </c>
      <c r="E141" s="126">
        <f>SUM(E139:E140)</f>
        <v>33665.043000000005</v>
      </c>
      <c r="F141" s="126"/>
      <c r="G141" s="105">
        <f>SUM(G139:G140)</f>
        <v>108462.55415</v>
      </c>
      <c r="H141" s="105">
        <f>SUM(H139:H140)</f>
        <v>744580.45000000007</v>
      </c>
      <c r="I141" s="105"/>
      <c r="J141" s="105"/>
      <c r="K141" s="105"/>
      <c r="L141" s="105"/>
      <c r="M141" s="105"/>
      <c r="N141" s="105"/>
      <c r="O141" s="105"/>
      <c r="P141" s="105">
        <f>SUM(P139:P140)</f>
        <v>525086.14</v>
      </c>
      <c r="Q141" s="48"/>
      <c r="R141" s="58"/>
      <c r="S141" s="50"/>
    </row>
    <row r="142" spans="1:19" s="2" customFormat="1" ht="30" customHeight="1" x14ac:dyDescent="0.25">
      <c r="A142" s="19"/>
      <c r="B142" s="129"/>
      <c r="C142" s="131" t="s">
        <v>59</v>
      </c>
      <c r="D142" s="99" t="s">
        <v>82</v>
      </c>
      <c r="E142" s="130">
        <v>782.74900000000002</v>
      </c>
      <c r="F142" s="94">
        <v>5.91</v>
      </c>
      <c r="G142" s="106">
        <f>E142*F142</f>
        <v>4626.0465899999999</v>
      </c>
      <c r="H142" s="106">
        <f>E142*57</f>
        <v>44616.692999999999</v>
      </c>
      <c r="I142" s="106"/>
      <c r="J142" s="106"/>
      <c r="K142" s="106"/>
      <c r="L142" s="106"/>
      <c r="M142" s="106"/>
      <c r="N142" s="106"/>
      <c r="O142" s="106"/>
      <c r="P142" s="106">
        <v>0</v>
      </c>
      <c r="Q142" s="30"/>
      <c r="R142" s="56"/>
      <c r="S142" s="47"/>
    </row>
    <row r="143" spans="1:19" s="2" customFormat="1" ht="30" customHeight="1" x14ac:dyDescent="0.25">
      <c r="A143" s="19"/>
      <c r="B143" s="129"/>
      <c r="C143" s="131" t="s">
        <v>87</v>
      </c>
      <c r="D143" s="99"/>
      <c r="E143" s="130">
        <v>16.38</v>
      </c>
      <c r="F143" s="94"/>
      <c r="G143" s="106">
        <f>16.38*5.91</f>
        <v>96.805799999999991</v>
      </c>
      <c r="H143" s="106">
        <f>16.38*57</f>
        <v>933.66</v>
      </c>
      <c r="I143" s="106"/>
      <c r="J143" s="106"/>
      <c r="K143" s="106"/>
      <c r="L143" s="106"/>
      <c r="M143" s="106"/>
      <c r="N143" s="106"/>
      <c r="O143" s="106"/>
      <c r="P143" s="106"/>
      <c r="Q143" s="30"/>
      <c r="R143" s="56"/>
      <c r="S143" s="47"/>
    </row>
    <row r="144" spans="1:19" ht="42" customHeight="1" x14ac:dyDescent="0.25">
      <c r="A144" s="17"/>
      <c r="B144" s="122"/>
      <c r="C144" s="132" t="s">
        <v>59</v>
      </c>
      <c r="D144" s="100" t="s">
        <v>81</v>
      </c>
      <c r="E144" s="126">
        <f>SUM(E141:E143)</f>
        <v>34464.172000000006</v>
      </c>
      <c r="F144" s="126"/>
      <c r="G144" s="105">
        <f t="shared" ref="G144:H144" si="30">SUM(G141:G143)</f>
        <v>113185.40654</v>
      </c>
      <c r="H144" s="105">
        <f t="shared" si="30"/>
        <v>790130.80300000007</v>
      </c>
      <c r="I144" s="105"/>
      <c r="J144" s="105"/>
      <c r="K144" s="105"/>
      <c r="L144" s="105"/>
      <c r="M144" s="105"/>
      <c r="N144" s="105"/>
      <c r="O144" s="105"/>
      <c r="P144" s="105">
        <v>525086.14</v>
      </c>
      <c r="Q144" s="48"/>
      <c r="R144" s="58"/>
      <c r="S144" s="50"/>
    </row>
    <row r="145" spans="1:19" s="2" customFormat="1" ht="28.5" customHeight="1" x14ac:dyDescent="0.25">
      <c r="A145" s="19"/>
      <c r="B145" s="129"/>
      <c r="C145" s="131" t="s">
        <v>59</v>
      </c>
      <c r="D145" s="99" t="s">
        <v>84</v>
      </c>
      <c r="E145" s="130">
        <v>916.85400000000004</v>
      </c>
      <c r="F145" s="94">
        <v>5.91</v>
      </c>
      <c r="G145" s="106">
        <f>E145*F145</f>
        <v>5418.6071400000001</v>
      </c>
      <c r="H145" s="106">
        <f>E145*57</f>
        <v>52260.678</v>
      </c>
      <c r="I145" s="106"/>
      <c r="J145" s="106"/>
      <c r="K145" s="106"/>
      <c r="L145" s="106"/>
      <c r="M145" s="106"/>
      <c r="N145" s="106"/>
      <c r="O145" s="106"/>
      <c r="P145" s="106">
        <v>11880</v>
      </c>
      <c r="Q145" s="30"/>
      <c r="R145" s="56"/>
      <c r="S145" s="47"/>
    </row>
    <row r="146" spans="1:19" s="2" customFormat="1" ht="42" customHeight="1" x14ac:dyDescent="0.25">
      <c r="A146" s="19"/>
      <c r="B146" s="129"/>
      <c r="C146" s="131"/>
      <c r="D146" s="99"/>
      <c r="E146" s="130"/>
      <c r="F146" s="94"/>
      <c r="G146" s="106"/>
      <c r="H146" s="106">
        <v>37013.769999999997</v>
      </c>
      <c r="I146" s="106"/>
      <c r="J146" s="106"/>
      <c r="K146" s="106"/>
      <c r="L146" s="106"/>
      <c r="M146" s="106"/>
      <c r="N146" s="106"/>
      <c r="O146" s="106"/>
      <c r="P146" s="106"/>
      <c r="Q146" s="30"/>
      <c r="R146" s="56"/>
      <c r="S146" s="227" t="s">
        <v>88</v>
      </c>
    </row>
    <row r="147" spans="1:19" ht="39" customHeight="1" x14ac:dyDescent="0.25">
      <c r="A147" s="17"/>
      <c r="B147" s="122"/>
      <c r="C147" s="132" t="s">
        <v>59</v>
      </c>
      <c r="D147" s="100" t="s">
        <v>86</v>
      </c>
      <c r="E147" s="126">
        <f>SUM(E144:E145)</f>
        <v>35381.026000000005</v>
      </c>
      <c r="F147" s="126"/>
      <c r="G147" s="105">
        <f t="shared" ref="G147" si="31">SUM(G144:G145)</f>
        <v>118604.01368</v>
      </c>
      <c r="H147" s="105">
        <f>SUM(H144:H146)</f>
        <v>879405.25100000005</v>
      </c>
      <c r="I147" s="105"/>
      <c r="J147" s="105"/>
      <c r="K147" s="105"/>
      <c r="L147" s="105"/>
      <c r="M147" s="105"/>
      <c r="N147" s="105"/>
      <c r="O147" s="105"/>
      <c r="P147" s="105">
        <f>SUM(P144:P145)</f>
        <v>536966.14</v>
      </c>
      <c r="Q147" s="48"/>
      <c r="R147" s="58"/>
      <c r="S147" s="50"/>
    </row>
    <row r="148" spans="1:19" s="2" customFormat="1" ht="29.25" customHeight="1" x14ac:dyDescent="0.25">
      <c r="A148" s="19"/>
      <c r="B148" s="129"/>
      <c r="C148" s="131" t="s">
        <v>59</v>
      </c>
      <c r="D148" s="99" t="s">
        <v>89</v>
      </c>
      <c r="E148" s="130">
        <v>1075.2919999999999</v>
      </c>
      <c r="F148" s="94">
        <v>5.91</v>
      </c>
      <c r="G148" s="106">
        <f>E148*F148</f>
        <v>6354.9757199999995</v>
      </c>
      <c r="H148" s="106">
        <f>E148*57</f>
        <v>61291.643999999993</v>
      </c>
      <c r="I148" s="106"/>
      <c r="J148" s="106"/>
      <c r="K148" s="106"/>
      <c r="L148" s="106"/>
      <c r="M148" s="106"/>
      <c r="N148" s="106"/>
      <c r="O148" s="106"/>
      <c r="P148" s="106">
        <v>107074.2</v>
      </c>
      <c r="Q148" s="30"/>
      <c r="R148" s="56"/>
      <c r="S148" s="47"/>
    </row>
    <row r="149" spans="1:19" s="2" customFormat="1" ht="39" customHeight="1" x14ac:dyDescent="0.25">
      <c r="A149" s="19"/>
      <c r="B149" s="129"/>
      <c r="C149" s="131" t="s">
        <v>39</v>
      </c>
      <c r="D149" s="104"/>
      <c r="E149" s="130">
        <v>24.38</v>
      </c>
      <c r="F149" s="130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30"/>
      <c r="R149" s="56"/>
      <c r="S149" s="47"/>
    </row>
    <row r="150" spans="1:19" ht="39" customHeight="1" x14ac:dyDescent="0.25">
      <c r="A150" s="17"/>
      <c r="B150" s="122"/>
      <c r="C150" s="132" t="s">
        <v>59</v>
      </c>
      <c r="D150" s="100" t="s">
        <v>90</v>
      </c>
      <c r="E150" s="126">
        <f>SUM(E147:E149)</f>
        <v>36480.698000000004</v>
      </c>
      <c r="F150" s="126"/>
      <c r="G150" s="105">
        <f t="shared" ref="G150:P150" si="32">SUM(G147:G149)</f>
        <v>124958.98940000001</v>
      </c>
      <c r="H150" s="105">
        <f t="shared" si="32"/>
        <v>940696.89500000002</v>
      </c>
      <c r="I150" s="105"/>
      <c r="J150" s="105"/>
      <c r="K150" s="105"/>
      <c r="L150" s="105"/>
      <c r="M150" s="105"/>
      <c r="N150" s="105"/>
      <c r="O150" s="105"/>
      <c r="P150" s="105">
        <f t="shared" si="32"/>
        <v>644040.34</v>
      </c>
      <c r="Q150" s="48"/>
      <c r="R150" s="58"/>
      <c r="S150" s="50"/>
    </row>
    <row r="151" spans="1:19" s="2" customFormat="1" ht="29.25" customHeight="1" x14ac:dyDescent="0.25">
      <c r="A151" s="19"/>
      <c r="B151" s="129"/>
      <c r="C151" s="131" t="s">
        <v>59</v>
      </c>
      <c r="D151" s="99" t="s">
        <v>93</v>
      </c>
      <c r="E151" s="130">
        <v>1008.648</v>
      </c>
      <c r="F151" s="94">
        <v>5.91</v>
      </c>
      <c r="G151" s="106">
        <f>E151*F151</f>
        <v>5961.1096800000005</v>
      </c>
      <c r="H151" s="106">
        <f>E151*57</f>
        <v>57492.936000000002</v>
      </c>
      <c r="I151" s="106"/>
      <c r="J151" s="106"/>
      <c r="K151" s="106"/>
      <c r="L151" s="106"/>
      <c r="M151" s="106"/>
      <c r="N151" s="106"/>
      <c r="O151" s="106"/>
      <c r="P151" s="106">
        <v>0</v>
      </c>
      <c r="Q151" s="30"/>
      <c r="R151" s="56"/>
      <c r="S151" s="47"/>
    </row>
    <row r="152" spans="1:19" ht="39" customHeight="1" x14ac:dyDescent="0.25">
      <c r="A152" s="17"/>
      <c r="B152" s="122"/>
      <c r="C152" s="132" t="s">
        <v>59</v>
      </c>
      <c r="D152" s="100" t="s">
        <v>94</v>
      </c>
      <c r="E152" s="126">
        <f>SUM(E150:E151)</f>
        <v>37489.346000000005</v>
      </c>
      <c r="F152" s="126"/>
      <c r="G152" s="105">
        <f t="shared" ref="G152:H152" si="33">SUM(G150:G151)</f>
        <v>130920.09908</v>
      </c>
      <c r="H152" s="105">
        <f t="shared" si="33"/>
        <v>998189.83100000001</v>
      </c>
      <c r="I152" s="105"/>
      <c r="J152" s="105"/>
      <c r="K152" s="105"/>
      <c r="L152" s="105"/>
      <c r="M152" s="105"/>
      <c r="N152" s="105"/>
      <c r="O152" s="105"/>
      <c r="P152" s="105">
        <v>644040.34</v>
      </c>
      <c r="Q152" s="48"/>
      <c r="R152" s="58"/>
      <c r="S152" s="50"/>
    </row>
    <row r="153" spans="1:19" s="2" customFormat="1" ht="130.5" customHeight="1" x14ac:dyDescent="0.25">
      <c r="A153" s="19"/>
      <c r="B153" s="129"/>
      <c r="C153" s="131" t="s">
        <v>59</v>
      </c>
      <c r="D153" s="99" t="s">
        <v>96</v>
      </c>
      <c r="E153" s="130">
        <v>808.85599999999999</v>
      </c>
      <c r="F153" s="94">
        <v>5.91</v>
      </c>
      <c r="G153" s="106">
        <f>E153*F153</f>
        <v>4780.33896</v>
      </c>
      <c r="H153" s="106">
        <v>74688.240000000005</v>
      </c>
      <c r="I153" s="106"/>
      <c r="J153" s="106"/>
      <c r="K153" s="106"/>
      <c r="L153" s="106"/>
      <c r="M153" s="106"/>
      <c r="N153" s="106"/>
      <c r="O153" s="106"/>
      <c r="P153" s="106">
        <v>0</v>
      </c>
      <c r="Q153" s="30"/>
      <c r="R153" s="56"/>
      <c r="S153" s="218" t="s">
        <v>106</v>
      </c>
    </row>
    <row r="154" spans="1:19" ht="39" customHeight="1" x14ac:dyDescent="0.25">
      <c r="A154" s="17"/>
      <c r="B154" s="122"/>
      <c r="C154" s="132" t="s">
        <v>59</v>
      </c>
      <c r="D154" s="100" t="s">
        <v>97</v>
      </c>
      <c r="E154" s="126">
        <f>SUM(E152:E153)</f>
        <v>38298.202000000005</v>
      </c>
      <c r="F154" s="126"/>
      <c r="G154" s="105">
        <f t="shared" ref="G154:P154" si="34">SUM(G152:G153)</f>
        <v>135700.43804000001</v>
      </c>
      <c r="H154" s="105">
        <f t="shared" si="34"/>
        <v>1072878.071</v>
      </c>
      <c r="I154" s="105"/>
      <c r="J154" s="105"/>
      <c r="K154" s="105"/>
      <c r="L154" s="105"/>
      <c r="M154" s="105"/>
      <c r="N154" s="105"/>
      <c r="O154" s="105"/>
      <c r="P154" s="105">
        <f t="shared" si="34"/>
        <v>644040.34</v>
      </c>
      <c r="Q154" s="48"/>
      <c r="R154" s="58"/>
      <c r="S154" s="219"/>
    </row>
    <row r="155" spans="1:19" s="2" customFormat="1" ht="33.75" customHeight="1" x14ac:dyDescent="0.25">
      <c r="A155" s="19"/>
      <c r="B155" s="129"/>
      <c r="C155" s="131" t="s">
        <v>59</v>
      </c>
      <c r="D155" s="99" t="s">
        <v>119</v>
      </c>
      <c r="E155" s="130">
        <v>1057.3689999999999</v>
      </c>
      <c r="F155" s="94">
        <v>5.91</v>
      </c>
      <c r="G155" s="106">
        <f>E155*F155</f>
        <v>6249.0507899999993</v>
      </c>
      <c r="H155" s="106">
        <f>E155*69</f>
        <v>72958.460999999996</v>
      </c>
      <c r="I155" s="106"/>
      <c r="J155" s="106"/>
      <c r="K155" s="106"/>
      <c r="L155" s="106"/>
      <c r="M155" s="106"/>
      <c r="N155" s="106"/>
      <c r="O155" s="106"/>
      <c r="P155" s="106">
        <v>51725.25</v>
      </c>
      <c r="Q155" s="30"/>
      <c r="R155" s="56"/>
      <c r="S155" s="223"/>
    </row>
    <row r="156" spans="1:19" s="2" customFormat="1" ht="33.75" customHeight="1" x14ac:dyDescent="0.25">
      <c r="A156" s="19"/>
      <c r="B156" s="129"/>
      <c r="C156" s="131" t="s">
        <v>59</v>
      </c>
      <c r="D156" s="99"/>
      <c r="E156" s="130"/>
      <c r="F156" s="94"/>
      <c r="G156" s="106"/>
      <c r="H156" s="106">
        <v>94403.92</v>
      </c>
      <c r="I156" s="106"/>
      <c r="J156" s="106"/>
      <c r="K156" s="106"/>
      <c r="L156" s="106"/>
      <c r="M156" s="106"/>
      <c r="N156" s="106"/>
      <c r="O156" s="106"/>
      <c r="P156" s="106"/>
      <c r="Q156" s="30"/>
      <c r="R156" s="56"/>
      <c r="S156" s="187" t="s">
        <v>130</v>
      </c>
    </row>
    <row r="157" spans="1:19" ht="39" customHeight="1" x14ac:dyDescent="0.25">
      <c r="A157" s="17"/>
      <c r="B157" s="122"/>
      <c r="C157" s="132" t="s">
        <v>59</v>
      </c>
      <c r="D157" s="100" t="s">
        <v>120</v>
      </c>
      <c r="E157" s="126">
        <f>SUM(E154:E156)</f>
        <v>39355.571000000004</v>
      </c>
      <c r="F157" s="105"/>
      <c r="G157" s="105">
        <f t="shared" ref="G157:P157" si="35">SUM(G154:G156)</f>
        <v>141949.48883000002</v>
      </c>
      <c r="H157" s="105">
        <f t="shared" si="35"/>
        <v>1240240.4519999998</v>
      </c>
      <c r="I157" s="105"/>
      <c r="J157" s="105"/>
      <c r="K157" s="105"/>
      <c r="L157" s="105"/>
      <c r="M157" s="105"/>
      <c r="N157" s="105"/>
      <c r="O157" s="105"/>
      <c r="P157" s="105">
        <f t="shared" si="35"/>
        <v>695765.59</v>
      </c>
      <c r="Q157" s="48"/>
      <c r="R157" s="58"/>
      <c r="S157" s="219"/>
    </row>
    <row r="158" spans="1:19" s="2" customFormat="1" ht="39" customHeight="1" x14ac:dyDescent="0.25">
      <c r="A158" s="19"/>
      <c r="B158" s="129"/>
      <c r="C158" s="131" t="s">
        <v>59</v>
      </c>
      <c r="D158" s="99" t="s">
        <v>139</v>
      </c>
      <c r="E158" s="130">
        <v>1108.903</v>
      </c>
      <c r="F158" s="106">
        <v>5.91</v>
      </c>
      <c r="G158" s="106">
        <f>SUM(F158*E158)</f>
        <v>6553.6167300000006</v>
      </c>
      <c r="H158" s="106">
        <f>SUM(E158*69)</f>
        <v>76514.307000000001</v>
      </c>
      <c r="I158" s="106"/>
      <c r="J158" s="106"/>
      <c r="K158" s="106"/>
      <c r="L158" s="106"/>
      <c r="M158" s="106"/>
      <c r="N158" s="106"/>
      <c r="O158" s="106"/>
      <c r="P158" s="106">
        <v>98247.43</v>
      </c>
      <c r="Q158" s="30"/>
      <c r="R158" s="56"/>
      <c r="S158" s="223"/>
    </row>
    <row r="159" spans="1:19" ht="39" customHeight="1" x14ac:dyDescent="0.25">
      <c r="A159" s="17"/>
      <c r="B159" s="122"/>
      <c r="C159" s="132" t="s">
        <v>59</v>
      </c>
      <c r="D159" s="100" t="s">
        <v>140</v>
      </c>
      <c r="E159" s="126">
        <f>SUM(E157:E158)</f>
        <v>40464.474000000002</v>
      </c>
      <c r="F159" s="126"/>
      <c r="G159" s="105">
        <f t="shared" ref="G159:H159" si="36">SUM(G157:G158)</f>
        <v>148503.10556000003</v>
      </c>
      <c r="H159" s="105">
        <f t="shared" si="36"/>
        <v>1316754.7589999998</v>
      </c>
      <c r="I159" s="105"/>
      <c r="J159" s="105"/>
      <c r="K159" s="105"/>
      <c r="L159" s="105"/>
      <c r="M159" s="105"/>
      <c r="N159" s="105"/>
      <c r="O159" s="105"/>
      <c r="P159" s="105">
        <f>SUM(P157:P158)</f>
        <v>794013.02</v>
      </c>
      <c r="Q159" s="48"/>
      <c r="R159" s="58"/>
      <c r="S159" s="219"/>
    </row>
    <row r="160" spans="1:19" s="2" customFormat="1" ht="87" customHeight="1" x14ac:dyDescent="0.25">
      <c r="A160" s="19"/>
      <c r="B160" s="129"/>
      <c r="C160" s="131" t="s">
        <v>59</v>
      </c>
      <c r="D160" s="99" t="s">
        <v>144</v>
      </c>
      <c r="E160" s="130">
        <v>915.47699999999998</v>
      </c>
      <c r="F160" s="106">
        <v>5.91</v>
      </c>
      <c r="G160" s="106">
        <f>613.109*5.91</f>
        <v>3623.4741900000004</v>
      </c>
      <c r="H160" s="106">
        <f>613.109*69</f>
        <v>42304.521000000001</v>
      </c>
      <c r="I160" s="228">
        <f>302.368*5.91</f>
        <v>1786.99488</v>
      </c>
      <c r="J160" s="228">
        <f>302.368*69</f>
        <v>20863.392</v>
      </c>
      <c r="K160" s="228">
        <f>SUM(I160+J160)</f>
        <v>22650.386879999998</v>
      </c>
      <c r="L160" s="256" t="s">
        <v>207</v>
      </c>
      <c r="M160" s="257"/>
      <c r="N160" s="106"/>
      <c r="O160" s="106"/>
      <c r="P160" s="106">
        <v>427890</v>
      </c>
      <c r="Q160" s="30"/>
      <c r="R160" s="56"/>
      <c r="S160" s="223"/>
    </row>
    <row r="161" spans="1:19" ht="39" customHeight="1" x14ac:dyDescent="0.25">
      <c r="A161" s="17"/>
      <c r="B161" s="122"/>
      <c r="C161" s="132" t="s">
        <v>59</v>
      </c>
      <c r="D161" s="100" t="s">
        <v>145</v>
      </c>
      <c r="E161" s="126">
        <f>SUM(E159:E160)</f>
        <v>41379.951000000001</v>
      </c>
      <c r="F161" s="126"/>
      <c r="G161" s="105">
        <f t="shared" ref="G161:K161" si="37">SUM(G159:G160)</f>
        <v>152126.57975000003</v>
      </c>
      <c r="H161" s="105">
        <f t="shared" si="37"/>
        <v>1359059.2799999998</v>
      </c>
      <c r="I161" s="105">
        <f t="shared" si="37"/>
        <v>1786.99488</v>
      </c>
      <c r="J161" s="105">
        <f t="shared" si="37"/>
        <v>20863.392</v>
      </c>
      <c r="K161" s="105">
        <f t="shared" si="37"/>
        <v>22650.386879999998</v>
      </c>
      <c r="L161" s="105"/>
      <c r="M161" s="105"/>
      <c r="N161" s="105"/>
      <c r="O161" s="105"/>
      <c r="P161" s="105">
        <f>SUM(P159:P160)</f>
        <v>1221903.02</v>
      </c>
      <c r="Q161" s="48"/>
      <c r="R161" s="58"/>
      <c r="S161" s="219"/>
    </row>
    <row r="162" spans="1:19" s="2" customFormat="1" ht="39" customHeight="1" x14ac:dyDescent="0.25">
      <c r="A162" s="19"/>
      <c r="B162" s="129"/>
      <c r="C162" s="131" t="s">
        <v>59</v>
      </c>
      <c r="D162" s="99" t="s">
        <v>165</v>
      </c>
      <c r="E162" s="130">
        <v>857.43200000000002</v>
      </c>
      <c r="F162" s="106">
        <v>5.91</v>
      </c>
      <c r="G162" s="106"/>
      <c r="H162" s="106"/>
      <c r="I162" s="106">
        <f>E162*F162</f>
        <v>5067.4231200000004</v>
      </c>
      <c r="J162" s="106">
        <f>E162*82</f>
        <v>70309.423999999999</v>
      </c>
      <c r="K162" s="106"/>
      <c r="L162" s="106"/>
      <c r="M162" s="106"/>
      <c r="N162" s="106"/>
      <c r="O162" s="106"/>
      <c r="P162" s="225" t="s">
        <v>171</v>
      </c>
      <c r="Q162" s="30"/>
      <c r="R162" s="56"/>
      <c r="S162" s="223"/>
    </row>
    <row r="163" spans="1:19" s="2" customFormat="1" ht="39" customHeight="1" x14ac:dyDescent="0.25">
      <c r="A163" s="19"/>
      <c r="B163" s="129"/>
      <c r="C163" s="131"/>
      <c r="D163" s="104"/>
      <c r="E163" s="130"/>
      <c r="F163" s="106"/>
      <c r="G163" s="106"/>
      <c r="H163" s="106">
        <v>257621.59</v>
      </c>
      <c r="I163" s="106"/>
      <c r="J163" s="106"/>
      <c r="K163" s="106"/>
      <c r="L163" s="106"/>
      <c r="M163" s="106"/>
      <c r="N163" s="106"/>
      <c r="O163" s="106"/>
      <c r="P163" s="225"/>
      <c r="Q163" s="30"/>
      <c r="R163" s="56"/>
      <c r="S163" s="187" t="s">
        <v>193</v>
      </c>
    </row>
    <row r="164" spans="1:19" ht="39" customHeight="1" x14ac:dyDescent="0.25">
      <c r="A164" s="17"/>
      <c r="B164" s="122"/>
      <c r="C164" s="132" t="s">
        <v>59</v>
      </c>
      <c r="D164" s="100" t="s">
        <v>167</v>
      </c>
      <c r="E164" s="126">
        <f>SUM(E161:E162)</f>
        <v>42237.383000000002</v>
      </c>
      <c r="F164" s="126"/>
      <c r="G164" s="105">
        <f t="shared" ref="G164" si="38">SUM(G161:G162)</f>
        <v>152126.57975000003</v>
      </c>
      <c r="H164" s="105">
        <f>SUM(H161:H163)</f>
        <v>1616680.8699999999</v>
      </c>
      <c r="I164" s="105">
        <v>5067.4231200000004</v>
      </c>
      <c r="J164" s="105">
        <v>70309.423999999999</v>
      </c>
      <c r="K164" s="105"/>
      <c r="L164" s="105"/>
      <c r="M164" s="105"/>
      <c r="N164" s="105"/>
      <c r="O164" s="105"/>
      <c r="P164" s="185" t="s">
        <v>172</v>
      </c>
      <c r="Q164" s="48"/>
      <c r="R164" s="58"/>
      <c r="S164" s="219"/>
    </row>
    <row r="165" spans="1:19" s="2" customFormat="1" ht="30" customHeight="1" x14ac:dyDescent="0.25">
      <c r="A165" s="19"/>
      <c r="B165" s="129"/>
      <c r="C165" s="131" t="s">
        <v>59</v>
      </c>
      <c r="D165" s="99" t="s">
        <v>166</v>
      </c>
      <c r="E165" s="130">
        <v>927.85699999999997</v>
      </c>
      <c r="F165" s="106">
        <v>5.91</v>
      </c>
      <c r="G165" s="106">
        <v>1636.53</v>
      </c>
      <c r="H165" s="106">
        <v>22706.46</v>
      </c>
      <c r="I165" s="106">
        <f>E165*F165</f>
        <v>5483.6348699999999</v>
      </c>
      <c r="J165" s="106">
        <f>E165*82</f>
        <v>76084.274000000005</v>
      </c>
      <c r="K165" s="106"/>
      <c r="L165" s="106"/>
      <c r="M165" s="106"/>
      <c r="N165" s="106"/>
      <c r="O165" s="106"/>
      <c r="P165" s="106">
        <v>0</v>
      </c>
      <c r="Q165" s="30"/>
      <c r="R165" s="56"/>
      <c r="S165" s="223"/>
    </row>
    <row r="166" spans="1:19" ht="39" customHeight="1" x14ac:dyDescent="0.25">
      <c r="A166" s="17"/>
      <c r="B166" s="122"/>
      <c r="C166" s="132" t="s">
        <v>59</v>
      </c>
      <c r="D166" s="100" t="s">
        <v>168</v>
      </c>
      <c r="E166" s="126">
        <f>SUM(E164:E165)</f>
        <v>43165.240000000005</v>
      </c>
      <c r="F166" s="126"/>
      <c r="G166" s="105">
        <f t="shared" ref="G166:H168" si="39">SUM(G164:G165)</f>
        <v>153763.10975000003</v>
      </c>
      <c r="H166" s="105">
        <f t="shared" si="39"/>
        <v>1639387.3299999998</v>
      </c>
      <c r="I166" s="105">
        <v>8914.52</v>
      </c>
      <c r="J166" s="105">
        <v>123687.23</v>
      </c>
      <c r="K166" s="105"/>
      <c r="L166" s="105"/>
      <c r="M166" s="105"/>
      <c r="N166" s="105"/>
      <c r="O166" s="105"/>
      <c r="P166" s="185" t="s">
        <v>194</v>
      </c>
      <c r="Q166" s="48"/>
      <c r="R166" s="58"/>
      <c r="S166" s="219"/>
    </row>
    <row r="167" spans="1:19" s="236" customFormat="1" ht="39" customHeight="1" x14ac:dyDescent="0.25">
      <c r="A167" s="229"/>
      <c r="B167" s="237"/>
      <c r="C167" s="131" t="s">
        <v>59</v>
      </c>
      <c r="D167" s="99" t="s">
        <v>195</v>
      </c>
      <c r="E167" s="238">
        <v>1092.4860000000001</v>
      </c>
      <c r="F167" s="106">
        <v>5.91</v>
      </c>
      <c r="G167" s="239"/>
      <c r="H167" s="239"/>
      <c r="I167" s="239">
        <f>E167*F167</f>
        <v>6456.5922600000004</v>
      </c>
      <c r="J167" s="239">
        <f>E167*82</f>
        <v>89583.852000000014</v>
      </c>
      <c r="K167" s="239"/>
      <c r="L167" s="239"/>
      <c r="M167" s="239"/>
      <c r="N167" s="239"/>
      <c r="O167" s="239"/>
      <c r="P167" s="106">
        <v>0</v>
      </c>
      <c r="Q167" s="240"/>
      <c r="R167" s="241"/>
      <c r="S167" s="242"/>
    </row>
    <row r="168" spans="1:19" ht="39" customHeight="1" x14ac:dyDescent="0.25">
      <c r="A168" s="17"/>
      <c r="B168" s="122"/>
      <c r="C168" s="132" t="s">
        <v>59</v>
      </c>
      <c r="D168" s="100" t="s">
        <v>196</v>
      </c>
      <c r="E168" s="126">
        <f>SUM(E166:E167)</f>
        <v>44257.726000000002</v>
      </c>
      <c r="F168" s="126"/>
      <c r="G168" s="105">
        <f t="shared" si="39"/>
        <v>153763.10975000003</v>
      </c>
      <c r="H168" s="105">
        <f t="shared" si="39"/>
        <v>1639387.3299999998</v>
      </c>
      <c r="I168" s="105">
        <f>SUM(I166:I167)</f>
        <v>15371.112260000002</v>
      </c>
      <c r="J168" s="105">
        <f xml:space="preserve"> SUM(J166,J167)</f>
        <v>213271.08199999999</v>
      </c>
      <c r="K168" s="105"/>
      <c r="L168" s="105"/>
      <c r="M168" s="105"/>
      <c r="N168" s="105"/>
      <c r="O168" s="105"/>
      <c r="P168" s="185" t="s">
        <v>194</v>
      </c>
      <c r="Q168" s="48"/>
      <c r="R168" s="58"/>
      <c r="S168" s="219"/>
    </row>
    <row r="169" spans="1:19" s="236" customFormat="1" ht="39" customHeight="1" x14ac:dyDescent="0.25">
      <c r="A169" s="229"/>
      <c r="B169" s="237"/>
      <c r="C169" s="131" t="s">
        <v>59</v>
      </c>
      <c r="D169" s="99" t="s">
        <v>201</v>
      </c>
      <c r="E169" s="238">
        <v>972.1</v>
      </c>
      <c r="F169" s="106">
        <v>5.91</v>
      </c>
      <c r="G169" s="239"/>
      <c r="H169" s="239"/>
      <c r="I169" s="239">
        <f>E169*F169</f>
        <v>5745.1109999999999</v>
      </c>
      <c r="J169" s="239">
        <f>E169*82</f>
        <v>79712.2</v>
      </c>
      <c r="K169" s="239"/>
      <c r="L169" s="239"/>
      <c r="M169" s="239"/>
      <c r="N169" s="239"/>
      <c r="O169" s="239"/>
      <c r="P169" s="106">
        <v>0</v>
      </c>
      <c r="Q169" s="240"/>
      <c r="R169" s="241"/>
      <c r="S169" s="242"/>
    </row>
    <row r="170" spans="1:19" ht="65.25" customHeight="1" x14ac:dyDescent="0.25">
      <c r="A170" s="17"/>
      <c r="B170" s="122"/>
      <c r="C170" s="132" t="s">
        <v>59</v>
      </c>
      <c r="D170" s="100" t="s">
        <v>202</v>
      </c>
      <c r="E170" s="126">
        <f>SUM(E168:E169)</f>
        <v>45229.826000000001</v>
      </c>
      <c r="F170" s="126"/>
      <c r="G170" s="105">
        <f>SUM(G168:G169)</f>
        <v>153763.10975000003</v>
      </c>
      <c r="H170" s="105">
        <f>SUM(H168:H169)</f>
        <v>1639387.3299999998</v>
      </c>
      <c r="I170" s="105">
        <f>SUM(I168:I169)</f>
        <v>21116.223260000002</v>
      </c>
      <c r="J170" s="105">
        <f>SUM(J168:J169)</f>
        <v>292983.28200000001</v>
      </c>
      <c r="K170" s="253">
        <v>314099.5</v>
      </c>
      <c r="L170" s="256" t="s">
        <v>221</v>
      </c>
      <c r="M170" s="257"/>
      <c r="N170" s="105"/>
      <c r="O170" s="105"/>
      <c r="P170" s="185" t="s">
        <v>194</v>
      </c>
      <c r="Q170" s="48"/>
      <c r="R170" s="58"/>
      <c r="S170" s="219"/>
    </row>
    <row r="171" spans="1:19" s="236" customFormat="1" ht="39" customHeight="1" x14ac:dyDescent="0.25">
      <c r="A171" s="229"/>
      <c r="B171" s="237"/>
      <c r="C171" s="249" t="s">
        <v>59</v>
      </c>
      <c r="D171" s="99" t="s">
        <v>208</v>
      </c>
      <c r="E171" s="238">
        <v>785.27700000000004</v>
      </c>
      <c r="F171" s="106">
        <v>5.91</v>
      </c>
      <c r="G171" s="239">
        <f>505.007*5.91</f>
        <v>2984.5913700000001</v>
      </c>
      <c r="H171" s="239">
        <f>505.007*95</f>
        <v>47975.665000000001</v>
      </c>
      <c r="I171" s="239">
        <f>280.27*5.91</f>
        <v>1656.3957</v>
      </c>
      <c r="J171" s="239">
        <f>280.27*95</f>
        <v>26625.649999999998</v>
      </c>
      <c r="K171" s="239"/>
      <c r="L171" s="239"/>
      <c r="M171" s="239"/>
      <c r="N171" s="239"/>
      <c r="O171" s="239"/>
      <c r="P171" s="250"/>
      <c r="Q171" s="240"/>
      <c r="R171" s="241"/>
      <c r="S171" s="242"/>
    </row>
    <row r="172" spans="1:19" ht="39" customHeight="1" x14ac:dyDescent="0.25">
      <c r="A172" s="17"/>
      <c r="B172" s="122"/>
      <c r="C172" s="132" t="s">
        <v>59</v>
      </c>
      <c r="D172" s="100" t="s">
        <v>209</v>
      </c>
      <c r="E172" s="126">
        <f>SUM(E170:E171)</f>
        <v>46015.103000000003</v>
      </c>
      <c r="F172" s="126"/>
      <c r="G172" s="105">
        <f>SUM(G170:G171)</f>
        <v>156747.70112000004</v>
      </c>
      <c r="H172" s="105">
        <f>SUM(H170:H171)</f>
        <v>1687362.9949999999</v>
      </c>
      <c r="I172" s="105">
        <v>1656.4</v>
      </c>
      <c r="J172" s="105">
        <v>26625.65</v>
      </c>
      <c r="K172" s="105"/>
      <c r="L172" s="105"/>
      <c r="M172" s="105"/>
      <c r="N172" s="105"/>
      <c r="O172" s="105"/>
      <c r="P172" s="185" t="s">
        <v>194</v>
      </c>
      <c r="Q172" s="48"/>
      <c r="R172" s="58"/>
      <c r="S172" s="219"/>
    </row>
    <row r="173" spans="1:19" s="236" customFormat="1" ht="39" customHeight="1" x14ac:dyDescent="0.25">
      <c r="A173" s="229"/>
      <c r="B173" s="237"/>
      <c r="C173" s="249" t="s">
        <v>59</v>
      </c>
      <c r="D173" s="99" t="s">
        <v>215</v>
      </c>
      <c r="E173" s="238">
        <v>916.65200000000004</v>
      </c>
      <c r="F173" s="106">
        <v>5.91</v>
      </c>
      <c r="G173" s="239"/>
      <c r="H173" s="239"/>
      <c r="I173" s="239">
        <f>916.652*5.91</f>
        <v>5417.4133200000006</v>
      </c>
      <c r="J173" s="239">
        <f>916.652*95</f>
        <v>87081.94</v>
      </c>
      <c r="K173" s="239"/>
      <c r="L173" s="239"/>
      <c r="M173" s="239"/>
      <c r="N173" s="239"/>
      <c r="O173" s="239"/>
      <c r="P173" s="250"/>
      <c r="Q173" s="240"/>
      <c r="R173" s="241"/>
      <c r="S173" s="242"/>
    </row>
    <row r="174" spans="1:19" s="236" customFormat="1" ht="39" customHeight="1" x14ac:dyDescent="0.25">
      <c r="A174" s="229"/>
      <c r="B174" s="237"/>
      <c r="C174" s="249" t="s">
        <v>217</v>
      </c>
      <c r="D174" s="99"/>
      <c r="E174" s="238"/>
      <c r="F174" s="106"/>
      <c r="G174" s="239"/>
      <c r="H174" s="239">
        <v>250803.92</v>
      </c>
      <c r="I174" s="239"/>
      <c r="J174" s="239"/>
      <c r="K174" s="239"/>
      <c r="L174" s="239"/>
      <c r="M174" s="239"/>
      <c r="N174" s="239"/>
      <c r="O174" s="239"/>
      <c r="P174" s="250"/>
      <c r="Q174" s="240"/>
      <c r="R174" s="241"/>
      <c r="S174" s="242"/>
    </row>
    <row r="175" spans="1:19" ht="39" customHeight="1" x14ac:dyDescent="0.25">
      <c r="A175" s="17"/>
      <c r="B175" s="122"/>
      <c r="C175" s="132" t="s">
        <v>59</v>
      </c>
      <c r="D175" s="100" t="s">
        <v>216</v>
      </c>
      <c r="E175" s="126">
        <f>SUM(E172:E173)</f>
        <v>46931.755000000005</v>
      </c>
      <c r="F175" s="126"/>
      <c r="G175" s="105">
        <v>156747.70000000001</v>
      </c>
      <c r="H175" s="105">
        <f>SUM(H172:H174)</f>
        <v>1938166.9149999998</v>
      </c>
      <c r="I175" s="105">
        <f>SUM(I172:I173)</f>
        <v>7073.8133200000011</v>
      </c>
      <c r="J175" s="105">
        <f>SUM(J172:J173)</f>
        <v>113707.59</v>
      </c>
      <c r="K175" s="105"/>
      <c r="L175" s="105"/>
      <c r="M175" s="105"/>
      <c r="N175" s="105"/>
      <c r="O175" s="105"/>
      <c r="P175" s="185" t="s">
        <v>194</v>
      </c>
      <c r="Q175" s="48"/>
      <c r="R175" s="58"/>
      <c r="S175" s="219"/>
    </row>
    <row r="176" spans="1:19" s="2" customFormat="1" ht="39" customHeight="1" x14ac:dyDescent="0.25">
      <c r="A176" s="19"/>
      <c r="B176" s="129"/>
      <c r="C176" s="249" t="s">
        <v>59</v>
      </c>
      <c r="D176" s="99" t="s">
        <v>218</v>
      </c>
      <c r="E176" s="130">
        <v>1048.4829999999999</v>
      </c>
      <c r="F176" s="106">
        <v>5.91</v>
      </c>
      <c r="G176" s="106"/>
      <c r="H176" s="106"/>
      <c r="I176" s="106">
        <f>1048.483*5.91</f>
        <v>6196.5345299999999</v>
      </c>
      <c r="J176" s="106">
        <f>1048.483*95</f>
        <v>99605.884999999995</v>
      </c>
      <c r="K176" s="106"/>
      <c r="L176" s="106"/>
      <c r="M176" s="106"/>
      <c r="N176" s="106"/>
      <c r="O176" s="106"/>
      <c r="P176" s="225" t="s">
        <v>225</v>
      </c>
      <c r="Q176" s="30"/>
      <c r="R176" s="56"/>
      <c r="S176" s="223"/>
    </row>
    <row r="177" spans="1:19" ht="39" customHeight="1" x14ac:dyDescent="0.25">
      <c r="A177" s="17"/>
      <c r="B177" s="122"/>
      <c r="C177" s="132" t="s">
        <v>59</v>
      </c>
      <c r="D177" s="100" t="s">
        <v>219</v>
      </c>
      <c r="E177" s="126">
        <f>SUM(E175:E176)</f>
        <v>47980.238000000005</v>
      </c>
      <c r="F177" s="126"/>
      <c r="G177" s="105">
        <v>156747.70000000001</v>
      </c>
      <c r="H177" s="105">
        <v>1938166.92</v>
      </c>
      <c r="I177" s="105">
        <f>SUM(I175:I176)</f>
        <v>13270.347850000002</v>
      </c>
      <c r="J177" s="105">
        <f>SUM(J175:J176)</f>
        <v>213313.47499999998</v>
      </c>
      <c r="K177" s="105"/>
      <c r="L177" s="105"/>
      <c r="M177" s="105"/>
      <c r="N177" s="105"/>
      <c r="O177" s="105"/>
      <c r="P177" s="185" t="s">
        <v>223</v>
      </c>
      <c r="Q177" s="48"/>
      <c r="R177" s="58"/>
      <c r="S177" s="219"/>
    </row>
    <row r="178" spans="1:19" s="236" customFormat="1" ht="50.25" customHeight="1" x14ac:dyDescent="0.25">
      <c r="A178" s="229"/>
      <c r="B178" s="237"/>
      <c r="C178" s="249" t="s">
        <v>59</v>
      </c>
      <c r="D178" s="99" t="s">
        <v>227</v>
      </c>
      <c r="E178" s="238">
        <v>896.36800000000005</v>
      </c>
      <c r="F178" s="106">
        <v>5.91</v>
      </c>
      <c r="G178" s="239"/>
      <c r="H178" s="239"/>
      <c r="I178" s="239">
        <f>896.368*5.91</f>
        <v>5297.5348800000002</v>
      </c>
      <c r="J178" s="239">
        <f>896.368*95</f>
        <v>85154.96</v>
      </c>
      <c r="K178" s="239"/>
      <c r="L178" s="239"/>
      <c r="M178" s="239"/>
      <c r="N178" s="239"/>
      <c r="O178" s="239"/>
      <c r="P178" s="250"/>
      <c r="Q178" s="240"/>
      <c r="R178" s="241"/>
      <c r="S178" s="242"/>
    </row>
    <row r="179" spans="1:19" ht="39" customHeight="1" x14ac:dyDescent="0.25">
      <c r="A179" s="17"/>
      <c r="B179" s="122"/>
      <c r="C179" s="132" t="s">
        <v>59</v>
      </c>
      <c r="D179" s="100" t="s">
        <v>228</v>
      </c>
      <c r="E179" s="126">
        <f>SUM(E177:E178)</f>
        <v>48876.606000000007</v>
      </c>
      <c r="F179" s="126"/>
      <c r="G179" s="105">
        <v>156747.70000000001</v>
      </c>
      <c r="H179" s="105">
        <v>1938166.92</v>
      </c>
      <c r="I179" s="105">
        <f>SUM(I177:I178)</f>
        <v>18567.882730000001</v>
      </c>
      <c r="J179" s="105">
        <f>SUM(J177:J178)</f>
        <v>298468.435</v>
      </c>
      <c r="K179" s="105"/>
      <c r="L179" s="105"/>
      <c r="M179" s="105"/>
      <c r="N179" s="105"/>
      <c r="O179" s="105"/>
      <c r="P179" s="185" t="s">
        <v>223</v>
      </c>
      <c r="Q179" s="48"/>
      <c r="R179" s="58"/>
      <c r="S179" s="219"/>
    </row>
    <row r="180" spans="1:19" x14ac:dyDescent="0.25">
      <c r="A180" s="22"/>
      <c r="B180" s="23"/>
      <c r="C180" s="24"/>
      <c r="D180" s="41"/>
      <c r="E180" s="59"/>
      <c r="F180" s="35"/>
      <c r="G180" s="60"/>
      <c r="H180" s="60"/>
      <c r="I180" s="60"/>
      <c r="J180" s="60"/>
      <c r="K180" s="60"/>
      <c r="L180" s="35"/>
      <c r="M180" s="35"/>
      <c r="N180" s="36"/>
      <c r="O180" s="36"/>
      <c r="P180" s="35"/>
      <c r="Q180" s="36"/>
      <c r="R180" s="54"/>
      <c r="S180" s="55"/>
    </row>
    <row r="181" spans="1:19" ht="33.75" customHeight="1" x14ac:dyDescent="0.25">
      <c r="A181" s="19"/>
      <c r="B181" s="115" t="s">
        <v>40</v>
      </c>
      <c r="C181" s="131" t="s">
        <v>41</v>
      </c>
      <c r="D181" s="133">
        <v>2011</v>
      </c>
      <c r="E181" s="90">
        <v>2413.5300000000002</v>
      </c>
      <c r="F181" s="118">
        <v>3.18</v>
      </c>
      <c r="G181" s="118">
        <f>E181*F181</f>
        <v>7675.0254000000014</v>
      </c>
      <c r="H181" s="118">
        <v>7240.59</v>
      </c>
      <c r="I181" s="118"/>
      <c r="J181" s="118"/>
      <c r="K181" s="94"/>
      <c r="L181" s="134"/>
      <c r="M181" s="134"/>
      <c r="N181" s="135"/>
      <c r="O181" s="135"/>
      <c r="P181" s="94">
        <v>0</v>
      </c>
      <c r="Q181" s="61"/>
      <c r="R181" s="62"/>
      <c r="S181" s="51"/>
    </row>
    <row r="182" spans="1:19" ht="28.5" customHeight="1" x14ac:dyDescent="0.25">
      <c r="A182" s="19"/>
      <c r="B182" s="115"/>
      <c r="C182" s="131" t="s">
        <v>66</v>
      </c>
      <c r="D182" s="133">
        <v>2011</v>
      </c>
      <c r="E182" s="90">
        <v>331.88</v>
      </c>
      <c r="F182" s="118">
        <v>3.18</v>
      </c>
      <c r="G182" s="118">
        <f>E182*F182</f>
        <v>1055.3784000000001</v>
      </c>
      <c r="H182" s="118">
        <v>995.64</v>
      </c>
      <c r="I182" s="118"/>
      <c r="J182" s="118"/>
      <c r="K182" s="94"/>
      <c r="L182" s="134"/>
      <c r="M182" s="134"/>
      <c r="N182" s="135"/>
      <c r="O182" s="135"/>
      <c r="P182" s="94"/>
      <c r="Q182" s="61"/>
      <c r="R182" s="62"/>
      <c r="S182" s="51"/>
    </row>
    <row r="183" spans="1:19" ht="30" customHeight="1" x14ac:dyDescent="0.25">
      <c r="A183" s="15"/>
      <c r="B183" s="119"/>
      <c r="C183" s="136" t="s">
        <v>41</v>
      </c>
      <c r="D183" s="120">
        <v>2012</v>
      </c>
      <c r="E183" s="137">
        <v>2260.2800000000002</v>
      </c>
      <c r="F183" s="118">
        <v>3.18</v>
      </c>
      <c r="G183" s="118">
        <v>6444.64</v>
      </c>
      <c r="H183" s="94">
        <v>20342.52</v>
      </c>
      <c r="I183" s="84"/>
      <c r="J183" s="84"/>
      <c r="K183" s="94"/>
      <c r="L183" s="138"/>
      <c r="M183" s="138"/>
      <c r="N183" s="139"/>
      <c r="O183" s="139"/>
      <c r="P183" s="94">
        <v>0</v>
      </c>
      <c r="Q183" s="63"/>
      <c r="R183" s="64"/>
      <c r="S183" s="51"/>
    </row>
    <row r="184" spans="1:19" ht="30" customHeight="1" x14ac:dyDescent="0.25">
      <c r="A184" s="15"/>
      <c r="B184" s="119"/>
      <c r="C184" s="136" t="s">
        <v>66</v>
      </c>
      <c r="D184" s="120">
        <v>2012</v>
      </c>
      <c r="E184" s="137">
        <v>489.61</v>
      </c>
      <c r="F184" s="118">
        <v>3.18</v>
      </c>
      <c r="G184" s="118">
        <v>1556.96</v>
      </c>
      <c r="H184" s="94">
        <v>4406.49</v>
      </c>
      <c r="I184" s="84"/>
      <c r="J184" s="84"/>
      <c r="K184" s="94"/>
      <c r="L184" s="138"/>
      <c r="M184" s="138"/>
      <c r="N184" s="139"/>
      <c r="O184" s="139"/>
      <c r="P184" s="94"/>
      <c r="Q184" s="63"/>
      <c r="R184" s="64"/>
      <c r="S184" s="51"/>
    </row>
    <row r="185" spans="1:19" ht="40.5" customHeight="1" x14ac:dyDescent="0.25">
      <c r="A185" s="17"/>
      <c r="B185" s="122"/>
      <c r="C185" s="132" t="s">
        <v>41</v>
      </c>
      <c r="D185" s="96" t="s">
        <v>25</v>
      </c>
      <c r="E185" s="89">
        <f>SUM(E181:E184)</f>
        <v>5495.3</v>
      </c>
      <c r="F185" s="89"/>
      <c r="G185" s="87">
        <f t="shared" ref="G185:H185" si="40">SUM(G181:G184)</f>
        <v>16732.003800000002</v>
      </c>
      <c r="H185" s="87">
        <f t="shared" si="40"/>
        <v>32985.24</v>
      </c>
      <c r="I185" s="87"/>
      <c r="J185" s="87"/>
      <c r="K185" s="87"/>
      <c r="L185" s="114"/>
      <c r="M185" s="114"/>
      <c r="N185" s="140"/>
      <c r="O185" s="140"/>
      <c r="P185" s="87">
        <v>0</v>
      </c>
      <c r="Q185" s="65"/>
      <c r="R185" s="66"/>
      <c r="S185" s="50"/>
    </row>
    <row r="186" spans="1:19" ht="30" customHeight="1" x14ac:dyDescent="0.25">
      <c r="A186" s="15"/>
      <c r="B186" s="119"/>
      <c r="C186" s="136" t="s">
        <v>41</v>
      </c>
      <c r="D186" s="120">
        <v>2013</v>
      </c>
      <c r="E186" s="137">
        <v>2300.31</v>
      </c>
      <c r="F186" s="118">
        <v>3.18</v>
      </c>
      <c r="G186" s="94">
        <f>E186*F186</f>
        <v>7314.9858000000004</v>
      </c>
      <c r="H186" s="94">
        <v>34504.65</v>
      </c>
      <c r="I186" s="84"/>
      <c r="J186" s="84"/>
      <c r="K186" s="94"/>
      <c r="L186" s="138"/>
      <c r="M186" s="138"/>
      <c r="N186" s="139"/>
      <c r="O186" s="139"/>
      <c r="P186" s="94">
        <v>0</v>
      </c>
      <c r="Q186" s="63"/>
      <c r="R186" s="64"/>
      <c r="S186" s="51"/>
    </row>
    <row r="187" spans="1:19" ht="27.75" customHeight="1" x14ac:dyDescent="0.25">
      <c r="A187" s="15"/>
      <c r="B187" s="119"/>
      <c r="C187" s="136" t="s">
        <v>66</v>
      </c>
      <c r="D187" s="120">
        <v>2013</v>
      </c>
      <c r="E187" s="137">
        <v>328.8</v>
      </c>
      <c r="F187" s="118">
        <v>3.18</v>
      </c>
      <c r="G187" s="94">
        <f>E187*F187</f>
        <v>1045.5840000000001</v>
      </c>
      <c r="H187" s="94">
        <v>4932</v>
      </c>
      <c r="I187" s="84"/>
      <c r="J187" s="84"/>
      <c r="K187" s="94"/>
      <c r="L187" s="138"/>
      <c r="M187" s="138"/>
      <c r="N187" s="139"/>
      <c r="O187" s="139"/>
      <c r="P187" s="94"/>
      <c r="Q187" s="63"/>
      <c r="R187" s="64"/>
      <c r="S187" s="51"/>
    </row>
    <row r="188" spans="1:19" ht="36.75" customHeight="1" x14ac:dyDescent="0.25">
      <c r="A188" s="17"/>
      <c r="B188" s="122"/>
      <c r="C188" s="132" t="s">
        <v>41</v>
      </c>
      <c r="D188" s="96" t="s">
        <v>38</v>
      </c>
      <c r="E188" s="89">
        <f>SUM(E185:E187)</f>
        <v>8124.4100000000008</v>
      </c>
      <c r="F188" s="89"/>
      <c r="G188" s="87">
        <f t="shared" ref="G188:H188" si="41">SUM(G185:G187)</f>
        <v>25092.5736</v>
      </c>
      <c r="H188" s="87">
        <f t="shared" si="41"/>
        <v>72421.89</v>
      </c>
      <c r="I188" s="87"/>
      <c r="J188" s="87"/>
      <c r="K188" s="87"/>
      <c r="L188" s="114"/>
      <c r="M188" s="114"/>
      <c r="N188" s="140"/>
      <c r="O188" s="140"/>
      <c r="P188" s="87">
        <v>0</v>
      </c>
      <c r="Q188" s="65"/>
      <c r="R188" s="66"/>
      <c r="S188" s="50"/>
    </row>
    <row r="189" spans="1:19" ht="25.5" x14ac:dyDescent="0.25">
      <c r="A189" s="15"/>
      <c r="B189" s="119"/>
      <c r="C189" s="136" t="s">
        <v>41</v>
      </c>
      <c r="D189" s="120">
        <v>2014</v>
      </c>
      <c r="E189" s="137">
        <v>2139.48</v>
      </c>
      <c r="F189" s="118">
        <v>3.18</v>
      </c>
      <c r="G189" s="94">
        <f>E189*F189</f>
        <v>6803.5464000000002</v>
      </c>
      <c r="H189" s="94">
        <v>47068.56</v>
      </c>
      <c r="I189" s="84"/>
      <c r="J189" s="84"/>
      <c r="K189" s="94"/>
      <c r="L189" s="138"/>
      <c r="M189" s="138"/>
      <c r="N189" s="139"/>
      <c r="O189" s="139"/>
      <c r="P189" s="94">
        <v>0</v>
      </c>
      <c r="Q189" s="63"/>
      <c r="R189" s="64"/>
      <c r="S189" s="51"/>
    </row>
    <row r="190" spans="1:19" ht="25.5" x14ac:dyDescent="0.25">
      <c r="A190" s="15"/>
      <c r="B190" s="119"/>
      <c r="C190" s="136" t="s">
        <v>66</v>
      </c>
      <c r="D190" s="120">
        <v>2014</v>
      </c>
      <c r="E190" s="137">
        <v>1451.76</v>
      </c>
      <c r="F190" s="118">
        <v>3.18</v>
      </c>
      <c r="G190" s="94">
        <f>E190*F190</f>
        <v>4616.5968000000003</v>
      </c>
      <c r="H190" s="94">
        <v>31938.720000000001</v>
      </c>
      <c r="I190" s="84"/>
      <c r="J190" s="84"/>
      <c r="K190" s="94"/>
      <c r="L190" s="138"/>
      <c r="M190" s="138"/>
      <c r="N190" s="139"/>
      <c r="O190" s="139"/>
      <c r="P190" s="94"/>
      <c r="Q190" s="63"/>
      <c r="R190" s="64"/>
      <c r="S190" s="51"/>
    </row>
    <row r="191" spans="1:19" ht="37.5" customHeight="1" x14ac:dyDescent="0.25">
      <c r="A191" s="17"/>
      <c r="B191" s="122"/>
      <c r="C191" s="132" t="s">
        <v>41</v>
      </c>
      <c r="D191" s="96" t="s">
        <v>24</v>
      </c>
      <c r="E191" s="89">
        <f>SUM(E188:E190)</f>
        <v>11715.650000000001</v>
      </c>
      <c r="F191" s="89"/>
      <c r="G191" s="87">
        <f t="shared" ref="G191:H191" si="42">SUM(G188:G190)</f>
        <v>36512.716800000002</v>
      </c>
      <c r="H191" s="87">
        <f t="shared" si="42"/>
        <v>151429.16999999998</v>
      </c>
      <c r="I191" s="87"/>
      <c r="J191" s="87"/>
      <c r="K191" s="87"/>
      <c r="L191" s="114"/>
      <c r="M191" s="114"/>
      <c r="N191" s="140"/>
      <c r="O191" s="140"/>
      <c r="P191" s="87">
        <v>0</v>
      </c>
      <c r="Q191" s="65"/>
      <c r="R191" s="66"/>
      <c r="S191" s="50"/>
    </row>
    <row r="192" spans="1:19" ht="30" customHeight="1" x14ac:dyDescent="0.25">
      <c r="A192" s="15"/>
      <c r="B192" s="119"/>
      <c r="C192" s="136" t="s">
        <v>41</v>
      </c>
      <c r="D192" s="120">
        <v>2015</v>
      </c>
      <c r="E192" s="137">
        <v>1891.8</v>
      </c>
      <c r="F192" s="141">
        <v>3.37</v>
      </c>
      <c r="G192" s="94">
        <f>E192*F192</f>
        <v>6375.366</v>
      </c>
      <c r="H192" s="94">
        <v>52970.400000000001</v>
      </c>
      <c r="I192" s="84"/>
      <c r="J192" s="84"/>
      <c r="K192" s="94"/>
      <c r="L192" s="138"/>
      <c r="M192" s="138"/>
      <c r="N192" s="139"/>
      <c r="O192" s="139"/>
      <c r="P192" s="94">
        <v>0</v>
      </c>
      <c r="Q192" s="63"/>
      <c r="R192" s="64"/>
      <c r="S192" s="51"/>
    </row>
    <row r="193" spans="1:20" ht="30" customHeight="1" x14ac:dyDescent="0.25">
      <c r="A193" s="15"/>
      <c r="B193" s="119"/>
      <c r="C193" s="136" t="s">
        <v>66</v>
      </c>
      <c r="D193" s="120">
        <v>2015</v>
      </c>
      <c r="E193" s="137">
        <v>332.45</v>
      </c>
      <c r="F193" s="141">
        <v>3.37</v>
      </c>
      <c r="G193" s="94">
        <f>E193*F193</f>
        <v>1120.3565000000001</v>
      </c>
      <c r="H193" s="94">
        <v>9308.6</v>
      </c>
      <c r="I193" s="84"/>
      <c r="J193" s="84"/>
      <c r="K193" s="94"/>
      <c r="L193" s="138"/>
      <c r="M193" s="138"/>
      <c r="N193" s="139"/>
      <c r="O193" s="139"/>
      <c r="P193" s="94"/>
      <c r="Q193" s="63"/>
      <c r="R193" s="64"/>
      <c r="S193" s="51"/>
    </row>
    <row r="194" spans="1:20" ht="39" customHeight="1" x14ac:dyDescent="0.25">
      <c r="A194" s="17"/>
      <c r="B194" s="122"/>
      <c r="C194" s="132" t="s">
        <v>41</v>
      </c>
      <c r="D194" s="96" t="s">
        <v>26</v>
      </c>
      <c r="E194" s="89">
        <f>SUM(E191:E193)</f>
        <v>13939.900000000001</v>
      </c>
      <c r="F194" s="89"/>
      <c r="G194" s="87">
        <f t="shared" ref="G194:H194" si="43">SUM(G191:G193)</f>
        <v>44008.439300000005</v>
      </c>
      <c r="H194" s="87">
        <f t="shared" si="43"/>
        <v>213708.16999999998</v>
      </c>
      <c r="I194" s="87"/>
      <c r="J194" s="87"/>
      <c r="K194" s="87"/>
      <c r="L194" s="114"/>
      <c r="M194" s="114"/>
      <c r="N194" s="140"/>
      <c r="O194" s="140"/>
      <c r="P194" s="87">
        <v>0</v>
      </c>
      <c r="Q194" s="65"/>
      <c r="R194" s="66"/>
      <c r="S194" s="50"/>
    </row>
    <row r="195" spans="1:20" ht="32.25" customHeight="1" x14ac:dyDescent="0.25">
      <c r="A195" s="15"/>
      <c r="B195" s="119"/>
      <c r="C195" s="136" t="s">
        <v>41</v>
      </c>
      <c r="D195" s="99" t="s">
        <v>29</v>
      </c>
      <c r="E195" s="93">
        <v>332.94</v>
      </c>
      <c r="F195" s="142">
        <v>3.37</v>
      </c>
      <c r="G195" s="94">
        <f>E195*F195</f>
        <v>1122.0078000000001</v>
      </c>
      <c r="H195" s="94">
        <v>11985.84</v>
      </c>
      <c r="I195" s="94"/>
      <c r="J195" s="94"/>
      <c r="K195" s="94"/>
      <c r="L195" s="138"/>
      <c r="M195" s="138"/>
      <c r="N195" s="139"/>
      <c r="O195" s="139"/>
      <c r="P195" s="84">
        <v>37200</v>
      </c>
      <c r="Q195" s="63"/>
      <c r="R195" s="64"/>
      <c r="S195" s="51"/>
    </row>
    <row r="196" spans="1:20" ht="27" customHeight="1" x14ac:dyDescent="0.25">
      <c r="A196" s="15"/>
      <c r="B196" s="119"/>
      <c r="C196" s="136" t="s">
        <v>66</v>
      </c>
      <c r="D196" s="99" t="s">
        <v>29</v>
      </c>
      <c r="E196" s="93">
        <v>80.14</v>
      </c>
      <c r="F196" s="142">
        <v>3.37</v>
      </c>
      <c r="G196" s="94">
        <f>E196*F196</f>
        <v>270.0718</v>
      </c>
      <c r="H196" s="94">
        <v>2885.04</v>
      </c>
      <c r="I196" s="94"/>
      <c r="J196" s="94"/>
      <c r="K196" s="94"/>
      <c r="L196" s="138"/>
      <c r="M196" s="138"/>
      <c r="N196" s="139"/>
      <c r="O196" s="139"/>
      <c r="P196" s="84"/>
      <c r="Q196" s="63"/>
      <c r="R196" s="64"/>
      <c r="S196" s="51"/>
    </row>
    <row r="197" spans="1:20" ht="38.25" x14ac:dyDescent="0.25">
      <c r="A197" s="17"/>
      <c r="B197" s="122"/>
      <c r="C197" s="132" t="s">
        <v>41</v>
      </c>
      <c r="D197" s="100" t="s">
        <v>30</v>
      </c>
      <c r="E197" s="89">
        <f>SUM(E194:E196)</f>
        <v>14352.980000000001</v>
      </c>
      <c r="F197" s="89"/>
      <c r="G197" s="87">
        <f t="shared" ref="G197:H197" si="44">SUM(G194:G196)</f>
        <v>45400.518900000003</v>
      </c>
      <c r="H197" s="87">
        <f t="shared" si="44"/>
        <v>228579.05</v>
      </c>
      <c r="I197" s="87"/>
      <c r="J197" s="87"/>
      <c r="K197" s="87"/>
      <c r="L197" s="114"/>
      <c r="M197" s="114"/>
      <c r="N197" s="140"/>
      <c r="O197" s="140"/>
      <c r="P197" s="87">
        <v>37200</v>
      </c>
      <c r="Q197" s="65"/>
      <c r="R197" s="66"/>
      <c r="S197" s="50"/>
    </row>
    <row r="198" spans="1:20" ht="26.25" customHeight="1" x14ac:dyDescent="0.25">
      <c r="A198" s="15"/>
      <c r="B198" s="119"/>
      <c r="C198" s="136" t="s">
        <v>41</v>
      </c>
      <c r="D198" s="99" t="s">
        <v>31</v>
      </c>
      <c r="E198" s="93">
        <v>351.86</v>
      </c>
      <c r="F198" s="142">
        <v>3.37</v>
      </c>
      <c r="G198" s="94">
        <f>E198*F198</f>
        <v>1185.7682</v>
      </c>
      <c r="H198" s="94">
        <v>12666.96</v>
      </c>
      <c r="I198" s="94"/>
      <c r="J198" s="94"/>
      <c r="K198" s="94"/>
      <c r="L198" s="138"/>
      <c r="M198" s="138"/>
      <c r="N198" s="139"/>
      <c r="O198" s="139"/>
      <c r="P198" s="84">
        <v>0</v>
      </c>
      <c r="Q198" s="63"/>
      <c r="R198" s="64"/>
      <c r="S198" s="51"/>
    </row>
    <row r="199" spans="1:20" ht="38.25" x14ac:dyDescent="0.25">
      <c r="A199" s="15"/>
      <c r="B199" s="119"/>
      <c r="C199" s="101" t="s">
        <v>43</v>
      </c>
      <c r="D199" s="99"/>
      <c r="E199" s="93">
        <v>14.26</v>
      </c>
      <c r="F199" s="141">
        <v>0</v>
      </c>
      <c r="G199" s="142">
        <v>0</v>
      </c>
      <c r="H199" s="142">
        <v>0</v>
      </c>
      <c r="I199" s="141"/>
      <c r="J199" s="141"/>
      <c r="K199" s="94"/>
      <c r="L199" s="138"/>
      <c r="M199" s="138"/>
      <c r="N199" s="139"/>
      <c r="O199" s="139"/>
      <c r="P199" s="84"/>
      <c r="Q199" s="63"/>
      <c r="R199" s="64"/>
      <c r="S199" s="51"/>
    </row>
    <row r="200" spans="1:20" ht="26.25" customHeight="1" x14ac:dyDescent="0.25">
      <c r="A200" s="15"/>
      <c r="B200" s="119"/>
      <c r="C200" s="149" t="s">
        <v>66</v>
      </c>
      <c r="D200" s="99" t="s">
        <v>31</v>
      </c>
      <c r="E200" s="93">
        <v>80.72</v>
      </c>
      <c r="F200" s="141">
        <v>3.37</v>
      </c>
      <c r="G200" s="94">
        <f t="shared" ref="G200" si="45">E200*F200</f>
        <v>272.02640000000002</v>
      </c>
      <c r="H200" s="94">
        <v>2905.92</v>
      </c>
      <c r="I200" s="84"/>
      <c r="J200" s="84"/>
      <c r="K200" s="94"/>
      <c r="L200" s="138"/>
      <c r="M200" s="138"/>
      <c r="N200" s="139"/>
      <c r="O200" s="139"/>
      <c r="P200" s="84"/>
      <c r="Q200" s="63"/>
      <c r="R200" s="64"/>
      <c r="S200" s="51"/>
    </row>
    <row r="201" spans="1:20" ht="45.75" customHeight="1" x14ac:dyDescent="0.25">
      <c r="A201" s="17"/>
      <c r="B201" s="122"/>
      <c r="C201" s="132" t="s">
        <v>41</v>
      </c>
      <c r="D201" s="100" t="s">
        <v>32</v>
      </c>
      <c r="E201" s="89">
        <f>SUM(E197:E200)</f>
        <v>14799.820000000002</v>
      </c>
      <c r="F201" s="89"/>
      <c r="G201" s="87">
        <f t="shared" ref="G201:H201" si="46">SUM(G197:G200)</f>
        <v>46858.313500000004</v>
      </c>
      <c r="H201" s="87">
        <f t="shared" si="46"/>
        <v>244151.93</v>
      </c>
      <c r="I201" s="87"/>
      <c r="J201" s="87"/>
      <c r="K201" s="87"/>
      <c r="L201" s="114"/>
      <c r="M201" s="114"/>
      <c r="N201" s="140"/>
      <c r="O201" s="140"/>
      <c r="P201" s="87">
        <v>37200</v>
      </c>
      <c r="Q201" s="65"/>
      <c r="R201" s="66"/>
      <c r="S201" s="50"/>
    </row>
    <row r="202" spans="1:20" ht="27.75" customHeight="1" x14ac:dyDescent="0.25">
      <c r="A202" s="15"/>
      <c r="B202" s="119"/>
      <c r="C202" s="136" t="s">
        <v>41</v>
      </c>
      <c r="D202" s="99" t="s">
        <v>33</v>
      </c>
      <c r="E202" s="137">
        <v>364.82</v>
      </c>
      <c r="F202" s="141">
        <v>3.37</v>
      </c>
      <c r="G202" s="94">
        <f>E202*F202</f>
        <v>1229.4434000000001</v>
      </c>
      <c r="H202" s="94">
        <v>13133.52</v>
      </c>
      <c r="I202" s="84"/>
      <c r="J202" s="84"/>
      <c r="K202" s="94"/>
      <c r="L202" s="138"/>
      <c r="M202" s="134"/>
      <c r="N202" s="139"/>
      <c r="O202" s="139"/>
      <c r="P202" s="84">
        <v>0</v>
      </c>
      <c r="Q202" s="63"/>
      <c r="R202" s="64"/>
      <c r="S202" s="51"/>
    </row>
    <row r="203" spans="1:20" ht="25.5" x14ac:dyDescent="0.25">
      <c r="A203" s="150"/>
      <c r="B203" s="151"/>
      <c r="C203" s="136" t="s">
        <v>66</v>
      </c>
      <c r="D203" s="99" t="s">
        <v>33</v>
      </c>
      <c r="E203" s="152">
        <v>85.42</v>
      </c>
      <c r="F203" s="153">
        <v>3.37</v>
      </c>
      <c r="G203" s="94">
        <f>E203*F203</f>
        <v>287.86540000000002</v>
      </c>
      <c r="H203" s="148">
        <v>3075.12</v>
      </c>
      <c r="I203" s="154"/>
      <c r="J203" s="154"/>
      <c r="K203" s="94"/>
      <c r="L203" s="155"/>
      <c r="M203" s="156"/>
      <c r="N203" s="157"/>
      <c r="O203" s="157"/>
      <c r="P203" s="84"/>
      <c r="Q203" s="158"/>
      <c r="R203" s="159"/>
      <c r="S203" s="51"/>
    </row>
    <row r="204" spans="1:20" ht="42" customHeight="1" x14ac:dyDescent="0.25">
      <c r="A204" s="25"/>
      <c r="B204" s="143"/>
      <c r="C204" s="132" t="s">
        <v>41</v>
      </c>
      <c r="D204" s="100" t="s">
        <v>35</v>
      </c>
      <c r="E204" s="144">
        <f>SUM(E201:E203)</f>
        <v>15250.060000000001</v>
      </c>
      <c r="F204" s="144"/>
      <c r="G204" s="87">
        <f t="shared" ref="G204:H204" si="47">SUM(G201:G203)</f>
        <v>48375.62230000001</v>
      </c>
      <c r="H204" s="87">
        <f t="shared" si="47"/>
        <v>260360.56999999998</v>
      </c>
      <c r="I204" s="87"/>
      <c r="J204" s="87"/>
      <c r="K204" s="87"/>
      <c r="L204" s="145"/>
      <c r="M204" s="145"/>
      <c r="N204" s="146"/>
      <c r="O204" s="146"/>
      <c r="P204" s="87">
        <v>37200</v>
      </c>
      <c r="Q204" s="67"/>
      <c r="R204" s="68"/>
      <c r="S204" s="50"/>
    </row>
    <row r="205" spans="1:20" ht="25.5" x14ac:dyDescent="0.25">
      <c r="A205" s="16"/>
      <c r="B205" s="119"/>
      <c r="C205" s="136" t="s">
        <v>41</v>
      </c>
      <c r="D205" s="99" t="s">
        <v>34</v>
      </c>
      <c r="E205" s="137">
        <v>360.98</v>
      </c>
      <c r="F205" s="141">
        <v>3.37</v>
      </c>
      <c r="G205" s="94">
        <f>E205*F205</f>
        <v>1216.5026</v>
      </c>
      <c r="H205" s="94">
        <v>12995.28</v>
      </c>
      <c r="I205" s="84"/>
      <c r="J205" s="84"/>
      <c r="K205" s="94"/>
      <c r="L205" s="139"/>
      <c r="M205" s="139"/>
      <c r="N205" s="139"/>
      <c r="O205" s="139"/>
      <c r="P205" s="84">
        <v>0</v>
      </c>
      <c r="Q205" s="63"/>
      <c r="R205" s="69"/>
      <c r="S205" s="51"/>
      <c r="T205" s="2"/>
    </row>
    <row r="206" spans="1:20" ht="25.5" x14ac:dyDescent="0.25">
      <c r="A206" s="16"/>
      <c r="B206" s="119"/>
      <c r="C206" s="136" t="s">
        <v>66</v>
      </c>
      <c r="D206" s="99" t="s">
        <v>34</v>
      </c>
      <c r="E206" s="152">
        <v>74.42</v>
      </c>
      <c r="F206" s="141">
        <v>3.37</v>
      </c>
      <c r="G206" s="94">
        <f>E206*F206</f>
        <v>250.7954</v>
      </c>
      <c r="H206" s="148">
        <v>2679.12</v>
      </c>
      <c r="I206" s="154"/>
      <c r="J206" s="154"/>
      <c r="K206" s="94"/>
      <c r="L206" s="139"/>
      <c r="M206" s="139"/>
      <c r="N206" s="139"/>
      <c r="O206" s="139"/>
      <c r="P206" s="84"/>
      <c r="Q206" s="63"/>
      <c r="R206" s="69"/>
      <c r="S206" s="51"/>
      <c r="T206" s="2"/>
    </row>
    <row r="207" spans="1:20" ht="42.75" customHeight="1" x14ac:dyDescent="0.25">
      <c r="A207" s="18"/>
      <c r="B207" s="122"/>
      <c r="C207" s="132" t="s">
        <v>41</v>
      </c>
      <c r="D207" s="100" t="s">
        <v>36</v>
      </c>
      <c r="E207" s="144">
        <f>SUM(E204:E206)</f>
        <v>15685.460000000001</v>
      </c>
      <c r="F207" s="144"/>
      <c r="G207" s="87">
        <f t="shared" ref="G207:H207" si="48">SUM(G204:G206)</f>
        <v>49842.920300000013</v>
      </c>
      <c r="H207" s="87">
        <f t="shared" si="48"/>
        <v>276034.96999999997</v>
      </c>
      <c r="I207" s="87"/>
      <c r="J207" s="87"/>
      <c r="K207" s="87"/>
      <c r="L207" s="140"/>
      <c r="M207" s="140"/>
      <c r="N207" s="140"/>
      <c r="O207" s="140"/>
      <c r="P207" s="87">
        <v>37200</v>
      </c>
      <c r="Q207" s="65"/>
      <c r="R207" s="70"/>
      <c r="S207" s="50"/>
    </row>
    <row r="208" spans="1:20" s="2" customFormat="1" ht="25.5" x14ac:dyDescent="0.25">
      <c r="A208" s="20"/>
      <c r="B208" s="129"/>
      <c r="C208" s="136" t="s">
        <v>41</v>
      </c>
      <c r="D208" s="99" t="s">
        <v>57</v>
      </c>
      <c r="E208" s="147">
        <v>341.56</v>
      </c>
      <c r="F208" s="141">
        <v>3.37</v>
      </c>
      <c r="G208" s="148">
        <f>E208*F208</f>
        <v>1151.0572</v>
      </c>
      <c r="H208" s="148">
        <v>13662.4</v>
      </c>
      <c r="I208" s="148"/>
      <c r="J208" s="148"/>
      <c r="K208" s="94"/>
      <c r="L208" s="135"/>
      <c r="M208" s="135"/>
      <c r="N208" s="135"/>
      <c r="O208" s="135"/>
      <c r="P208" s="94">
        <v>0</v>
      </c>
      <c r="Q208" s="61"/>
      <c r="R208" s="71"/>
      <c r="S208" s="47"/>
    </row>
    <row r="209" spans="1:19" s="2" customFormat="1" ht="25.5" x14ac:dyDescent="0.25">
      <c r="A209" s="20"/>
      <c r="B209" s="129"/>
      <c r="C209" s="136" t="s">
        <v>66</v>
      </c>
      <c r="D209" s="99" t="s">
        <v>57</v>
      </c>
      <c r="E209" s="147">
        <v>32.36</v>
      </c>
      <c r="F209" s="153">
        <v>3.37</v>
      </c>
      <c r="G209" s="148">
        <f>E209*F209</f>
        <v>109.0532</v>
      </c>
      <c r="H209" s="148">
        <v>1294.4000000000001</v>
      </c>
      <c r="I209" s="148"/>
      <c r="J209" s="148"/>
      <c r="K209" s="94"/>
      <c r="L209" s="135"/>
      <c r="M209" s="135"/>
      <c r="N209" s="135"/>
      <c r="O209" s="135"/>
      <c r="P209" s="94"/>
      <c r="Q209" s="61"/>
      <c r="R209" s="71"/>
      <c r="S209" s="47"/>
    </row>
    <row r="210" spans="1:19" s="2" customFormat="1" ht="38.25" x14ac:dyDescent="0.25">
      <c r="A210" s="18"/>
      <c r="B210" s="122"/>
      <c r="C210" s="132" t="s">
        <v>41</v>
      </c>
      <c r="D210" s="100" t="s">
        <v>58</v>
      </c>
      <c r="E210" s="144">
        <f>SUM(E207:E209)</f>
        <v>16059.380000000001</v>
      </c>
      <c r="F210" s="144"/>
      <c r="G210" s="87">
        <f t="shared" ref="G210:H210" si="49">SUM(G207:G209)</f>
        <v>51103.030700000018</v>
      </c>
      <c r="H210" s="87">
        <f t="shared" si="49"/>
        <v>290991.77</v>
      </c>
      <c r="I210" s="87"/>
      <c r="J210" s="87"/>
      <c r="K210" s="87"/>
      <c r="L210" s="140"/>
      <c r="M210" s="140"/>
      <c r="N210" s="140"/>
      <c r="O210" s="140"/>
      <c r="P210" s="87">
        <v>37200</v>
      </c>
      <c r="Q210" s="65"/>
      <c r="R210" s="70"/>
      <c r="S210" s="50"/>
    </row>
    <row r="211" spans="1:19" s="2" customFormat="1" ht="25.5" x14ac:dyDescent="0.25">
      <c r="A211" s="20"/>
      <c r="B211" s="129"/>
      <c r="C211" s="136" t="s">
        <v>41</v>
      </c>
      <c r="D211" s="99" t="s">
        <v>61</v>
      </c>
      <c r="E211" s="147">
        <v>523.26</v>
      </c>
      <c r="F211" s="141">
        <v>3.37</v>
      </c>
      <c r="G211" s="148">
        <f>E211*F211</f>
        <v>1763.3861999999999</v>
      </c>
      <c r="H211" s="148">
        <v>20930.400000000001</v>
      </c>
      <c r="I211" s="148"/>
      <c r="J211" s="148"/>
      <c r="K211" s="94"/>
      <c r="L211" s="135"/>
      <c r="M211" s="135"/>
      <c r="N211" s="135"/>
      <c r="O211" s="135"/>
      <c r="P211" s="94">
        <v>43688.34</v>
      </c>
      <c r="Q211" s="61"/>
      <c r="R211" s="71"/>
      <c r="S211" s="47"/>
    </row>
    <row r="212" spans="1:19" s="2" customFormat="1" ht="25.5" x14ac:dyDescent="0.25">
      <c r="A212" s="20"/>
      <c r="B212" s="129"/>
      <c r="C212" s="136" t="s">
        <v>66</v>
      </c>
      <c r="D212" s="99" t="s">
        <v>61</v>
      </c>
      <c r="E212" s="147">
        <v>87.44</v>
      </c>
      <c r="F212" s="153">
        <v>3.37</v>
      </c>
      <c r="G212" s="148">
        <f>E212*F212</f>
        <v>294.6728</v>
      </c>
      <c r="H212" s="148">
        <v>3497.6</v>
      </c>
      <c r="I212" s="148"/>
      <c r="J212" s="148"/>
      <c r="K212" s="94"/>
      <c r="L212" s="135"/>
      <c r="M212" s="135"/>
      <c r="N212" s="135"/>
      <c r="O212" s="135"/>
      <c r="P212" s="94"/>
      <c r="Q212" s="61"/>
      <c r="R212" s="71"/>
      <c r="S212" s="47"/>
    </row>
    <row r="213" spans="1:19" s="2" customFormat="1" ht="39" customHeight="1" x14ac:dyDescent="0.25">
      <c r="A213" s="18"/>
      <c r="B213" s="122"/>
      <c r="C213" s="132" t="s">
        <v>41</v>
      </c>
      <c r="D213" s="100" t="s">
        <v>63</v>
      </c>
      <c r="E213" s="144">
        <f>SUM(E210:E212)</f>
        <v>16670.079999999998</v>
      </c>
      <c r="F213" s="144"/>
      <c r="G213" s="87">
        <f t="shared" ref="G213:H213" si="50">SUM(G210:G212)</f>
        <v>53161.089700000019</v>
      </c>
      <c r="H213" s="87">
        <f t="shared" si="50"/>
        <v>315419.77</v>
      </c>
      <c r="I213" s="87"/>
      <c r="J213" s="87"/>
      <c r="K213" s="87"/>
      <c r="L213" s="140"/>
      <c r="M213" s="140"/>
      <c r="N213" s="140"/>
      <c r="O213" s="140"/>
      <c r="P213" s="87">
        <f>SUM(P210:P211)</f>
        <v>80888.34</v>
      </c>
      <c r="Q213" s="65"/>
      <c r="R213" s="70"/>
      <c r="S213" s="50"/>
    </row>
    <row r="214" spans="1:19" s="2" customFormat="1" ht="29.25" customHeight="1" x14ac:dyDescent="0.25">
      <c r="A214" s="20"/>
      <c r="B214" s="129"/>
      <c r="C214" s="131" t="s">
        <v>41</v>
      </c>
      <c r="D214" s="99" t="s">
        <v>64</v>
      </c>
      <c r="E214" s="147">
        <v>573.9</v>
      </c>
      <c r="F214" s="153">
        <v>3.37</v>
      </c>
      <c r="G214" s="148">
        <f>E214*F214</f>
        <v>1934.0429999999999</v>
      </c>
      <c r="H214" s="148">
        <v>22956</v>
      </c>
      <c r="I214" s="148"/>
      <c r="J214" s="148"/>
      <c r="K214" s="148"/>
      <c r="L214" s="135"/>
      <c r="M214" s="135"/>
      <c r="N214" s="135"/>
      <c r="O214" s="135"/>
      <c r="P214" s="94">
        <v>0</v>
      </c>
      <c r="Q214" s="61"/>
      <c r="R214" s="71"/>
      <c r="S214" s="47"/>
    </row>
    <row r="215" spans="1:19" s="2" customFormat="1" ht="41.25" customHeight="1" x14ac:dyDescent="0.25">
      <c r="A215" s="20"/>
      <c r="B215" s="129"/>
      <c r="C215" s="131" t="s">
        <v>43</v>
      </c>
      <c r="D215" s="104"/>
      <c r="E215" s="147">
        <v>7.84</v>
      </c>
      <c r="F215" s="153">
        <v>0</v>
      </c>
      <c r="G215" s="148">
        <f t="shared" ref="G215:G216" si="51">E215*F215</f>
        <v>0</v>
      </c>
      <c r="H215" s="148">
        <f t="shared" ref="H215" si="52">F215*G215</f>
        <v>0</v>
      </c>
      <c r="I215" s="148"/>
      <c r="J215" s="148"/>
      <c r="K215" s="148"/>
      <c r="L215" s="135"/>
      <c r="M215" s="135"/>
      <c r="N215" s="135"/>
      <c r="O215" s="135"/>
      <c r="P215" s="94"/>
      <c r="Q215" s="61"/>
      <c r="R215" s="71"/>
      <c r="S215" s="47"/>
    </row>
    <row r="216" spans="1:19" s="2" customFormat="1" ht="27" customHeight="1" x14ac:dyDescent="0.25">
      <c r="A216" s="20"/>
      <c r="B216" s="129"/>
      <c r="C216" s="131" t="s">
        <v>66</v>
      </c>
      <c r="D216" s="99" t="s">
        <v>64</v>
      </c>
      <c r="E216" s="147">
        <v>92.44</v>
      </c>
      <c r="F216" s="153">
        <v>3.37</v>
      </c>
      <c r="G216" s="148">
        <f t="shared" si="51"/>
        <v>311.52280000000002</v>
      </c>
      <c r="H216" s="148">
        <v>3697.6</v>
      </c>
      <c r="I216" s="148"/>
      <c r="J216" s="148"/>
      <c r="K216" s="148"/>
      <c r="L216" s="135"/>
      <c r="M216" s="135"/>
      <c r="N216" s="135"/>
      <c r="O216" s="135"/>
      <c r="P216" s="94"/>
      <c r="Q216" s="61"/>
      <c r="R216" s="71"/>
      <c r="S216" s="47"/>
    </row>
    <row r="217" spans="1:19" s="2" customFormat="1" ht="41.25" customHeight="1" x14ac:dyDescent="0.25">
      <c r="A217" s="18"/>
      <c r="B217" s="122"/>
      <c r="C217" s="132" t="s">
        <v>41</v>
      </c>
      <c r="D217" s="100" t="s">
        <v>67</v>
      </c>
      <c r="E217" s="144">
        <f>SUM(E213:E216)</f>
        <v>17344.259999999998</v>
      </c>
      <c r="F217" s="144"/>
      <c r="G217" s="87">
        <f t="shared" ref="G217:H217" si="53">SUM(G213:G216)</f>
        <v>55406.655500000015</v>
      </c>
      <c r="H217" s="87">
        <f t="shared" si="53"/>
        <v>342073.37</v>
      </c>
      <c r="I217" s="87"/>
      <c r="J217" s="87"/>
      <c r="K217" s="87"/>
      <c r="L217" s="140"/>
      <c r="M217" s="140"/>
      <c r="N217" s="140"/>
      <c r="O217" s="140"/>
      <c r="P217" s="87">
        <v>80888.34</v>
      </c>
      <c r="Q217" s="65"/>
      <c r="R217" s="70"/>
      <c r="S217" s="50"/>
    </row>
    <row r="218" spans="1:19" s="2" customFormat="1" ht="28.5" customHeight="1" x14ac:dyDescent="0.25">
      <c r="A218" s="20"/>
      <c r="B218" s="129"/>
      <c r="C218" s="131" t="s">
        <v>41</v>
      </c>
      <c r="D218" s="99" t="s">
        <v>70</v>
      </c>
      <c r="E218" s="147">
        <v>326.77999999999997</v>
      </c>
      <c r="F218" s="153">
        <v>3.37</v>
      </c>
      <c r="G218" s="94">
        <v>1101.2485999999999</v>
      </c>
      <c r="H218" s="94">
        <v>13071.199999999999</v>
      </c>
      <c r="I218" s="94"/>
      <c r="J218" s="94"/>
      <c r="K218" s="94"/>
      <c r="L218" s="135"/>
      <c r="M218" s="135"/>
      <c r="N218" s="135"/>
      <c r="O218" s="135"/>
      <c r="P218" s="94">
        <v>0</v>
      </c>
      <c r="Q218" s="61"/>
      <c r="R218" s="71"/>
      <c r="S218" s="47"/>
    </row>
    <row r="219" spans="1:19" s="2" customFormat="1" ht="29.25" customHeight="1" x14ac:dyDescent="0.25">
      <c r="A219" s="20"/>
      <c r="B219" s="129"/>
      <c r="C219" s="131" t="s">
        <v>66</v>
      </c>
      <c r="D219" s="99" t="s">
        <v>70</v>
      </c>
      <c r="E219" s="147">
        <v>51.06</v>
      </c>
      <c r="F219" s="153">
        <v>3.37</v>
      </c>
      <c r="G219" s="94">
        <v>172.07220000000001</v>
      </c>
      <c r="H219" s="94">
        <v>2042.4</v>
      </c>
      <c r="I219" s="94"/>
      <c r="J219" s="94"/>
      <c r="K219" s="94"/>
      <c r="L219" s="135"/>
      <c r="M219" s="135"/>
      <c r="N219" s="135"/>
      <c r="O219" s="135"/>
      <c r="P219" s="94"/>
      <c r="Q219" s="61"/>
      <c r="R219" s="71"/>
      <c r="S219" s="47"/>
    </row>
    <row r="220" spans="1:19" s="2" customFormat="1" ht="41.25" customHeight="1" x14ac:dyDescent="0.25">
      <c r="A220" s="18"/>
      <c r="B220" s="122"/>
      <c r="C220" s="132" t="s">
        <v>41</v>
      </c>
      <c r="D220" s="100" t="s">
        <v>69</v>
      </c>
      <c r="E220" s="144">
        <f>SUM(E217:E219)</f>
        <v>17722.099999999999</v>
      </c>
      <c r="F220" s="144"/>
      <c r="G220" s="87">
        <f t="shared" ref="G220:H220" si="54">SUM(G217:G219)</f>
        <v>56679.976300000017</v>
      </c>
      <c r="H220" s="87">
        <f t="shared" si="54"/>
        <v>357186.97000000003</v>
      </c>
      <c r="I220" s="87"/>
      <c r="J220" s="87"/>
      <c r="K220" s="87"/>
      <c r="L220" s="140"/>
      <c r="M220" s="140"/>
      <c r="N220" s="140"/>
      <c r="O220" s="140"/>
      <c r="P220" s="87">
        <v>80888.34</v>
      </c>
      <c r="Q220" s="65"/>
      <c r="R220" s="70"/>
      <c r="S220" s="50"/>
    </row>
    <row r="221" spans="1:19" s="2" customFormat="1" ht="29.25" customHeight="1" x14ac:dyDescent="0.25">
      <c r="A221" s="20"/>
      <c r="B221" s="129"/>
      <c r="C221" s="131" t="s">
        <v>41</v>
      </c>
      <c r="D221" s="99" t="s">
        <v>71</v>
      </c>
      <c r="E221" s="147">
        <v>340.98</v>
      </c>
      <c r="F221" s="153">
        <v>3.45</v>
      </c>
      <c r="G221" s="94">
        <v>1176.3800000000001</v>
      </c>
      <c r="H221" s="94">
        <f>E221*45</f>
        <v>15344.1</v>
      </c>
      <c r="I221" s="94"/>
      <c r="J221" s="94"/>
      <c r="K221" s="94"/>
      <c r="L221" s="135"/>
      <c r="M221" s="135"/>
      <c r="N221" s="135"/>
      <c r="O221" s="135"/>
      <c r="P221" s="94">
        <v>64500</v>
      </c>
      <c r="Q221" s="61"/>
      <c r="R221" s="71"/>
      <c r="S221" s="47"/>
    </row>
    <row r="222" spans="1:19" s="2" customFormat="1" ht="27.75" customHeight="1" x14ac:dyDescent="0.25">
      <c r="A222" s="20"/>
      <c r="B222" s="129"/>
      <c r="C222" s="131" t="s">
        <v>66</v>
      </c>
      <c r="D222" s="99" t="s">
        <v>71</v>
      </c>
      <c r="E222" s="147">
        <v>75.040000000000006</v>
      </c>
      <c r="F222" s="153">
        <v>3.45</v>
      </c>
      <c r="G222" s="94">
        <f>SUM(E222*F222)</f>
        <v>258.88800000000003</v>
      </c>
      <c r="H222" s="94">
        <f>SUM(E222*45)</f>
        <v>3376.8</v>
      </c>
      <c r="I222" s="94"/>
      <c r="J222" s="94"/>
      <c r="K222" s="94"/>
      <c r="L222" s="135"/>
      <c r="M222" s="135"/>
      <c r="N222" s="135"/>
      <c r="O222" s="135"/>
      <c r="P222" s="94"/>
      <c r="Q222" s="61"/>
      <c r="R222" s="71"/>
      <c r="S222" s="47"/>
    </row>
    <row r="223" spans="1:19" s="2" customFormat="1" ht="45" customHeight="1" x14ac:dyDescent="0.25">
      <c r="A223" s="18"/>
      <c r="B223" s="122"/>
      <c r="C223" s="132" t="s">
        <v>41</v>
      </c>
      <c r="D223" s="100" t="s">
        <v>72</v>
      </c>
      <c r="E223" s="144">
        <f>SUM(E220:E222)</f>
        <v>18138.12</v>
      </c>
      <c r="F223" s="144"/>
      <c r="G223" s="87">
        <f t="shared" ref="G223:H223" si="55">SUM(G220:G222)</f>
        <v>58115.244300000013</v>
      </c>
      <c r="H223" s="87">
        <f t="shared" si="55"/>
        <v>375907.87</v>
      </c>
      <c r="I223" s="87"/>
      <c r="J223" s="87"/>
      <c r="K223" s="87"/>
      <c r="L223" s="140"/>
      <c r="M223" s="140"/>
      <c r="N223" s="140"/>
      <c r="O223" s="140"/>
      <c r="P223" s="87">
        <f>SUM(P220:P222)</f>
        <v>145388.34</v>
      </c>
      <c r="Q223" s="65"/>
      <c r="R223" s="70"/>
      <c r="S223" s="50"/>
    </row>
    <row r="224" spans="1:19" s="2" customFormat="1" ht="32.25" customHeight="1" x14ac:dyDescent="0.25">
      <c r="A224" s="20"/>
      <c r="B224" s="129"/>
      <c r="C224" s="131" t="s">
        <v>41</v>
      </c>
      <c r="D224" s="99" t="s">
        <v>73</v>
      </c>
      <c r="E224" s="147">
        <v>379.58</v>
      </c>
      <c r="F224" s="153">
        <v>3.45</v>
      </c>
      <c r="G224" s="94">
        <f>E224*F224</f>
        <v>1309.5509999999999</v>
      </c>
      <c r="H224" s="94">
        <f>E224*45</f>
        <v>17081.099999999999</v>
      </c>
      <c r="I224" s="94"/>
      <c r="J224" s="94"/>
      <c r="K224" s="94"/>
      <c r="L224" s="135"/>
      <c r="M224" s="135"/>
      <c r="N224" s="135"/>
      <c r="O224" s="135"/>
      <c r="P224" s="94">
        <v>0</v>
      </c>
      <c r="Q224" s="61"/>
      <c r="R224" s="71"/>
      <c r="S224" s="47"/>
    </row>
    <row r="225" spans="1:19" s="2" customFormat="1" ht="27" customHeight="1" x14ac:dyDescent="0.25">
      <c r="A225" s="20"/>
      <c r="B225" s="129"/>
      <c r="C225" s="131" t="s">
        <v>66</v>
      </c>
      <c r="D225" s="99" t="s">
        <v>73</v>
      </c>
      <c r="E225" s="147">
        <v>92.88</v>
      </c>
      <c r="F225" s="153">
        <v>3.45</v>
      </c>
      <c r="G225" s="94">
        <f>E225*F225</f>
        <v>320.43599999999998</v>
      </c>
      <c r="H225" s="94">
        <f>E225*45</f>
        <v>4179.5999999999995</v>
      </c>
      <c r="I225" s="94"/>
      <c r="J225" s="94"/>
      <c r="K225" s="94"/>
      <c r="L225" s="135"/>
      <c r="M225" s="135"/>
      <c r="N225" s="135"/>
      <c r="O225" s="135"/>
      <c r="P225" s="94">
        <v>0</v>
      </c>
      <c r="Q225" s="61"/>
      <c r="R225" s="71"/>
      <c r="S225" s="47"/>
    </row>
    <row r="226" spans="1:19" s="2" customFormat="1" ht="41.25" customHeight="1" x14ac:dyDescent="0.25">
      <c r="A226" s="18"/>
      <c r="B226" s="122"/>
      <c r="C226" s="132" t="s">
        <v>41</v>
      </c>
      <c r="D226" s="100" t="s">
        <v>74</v>
      </c>
      <c r="E226" s="144">
        <f>SUM(E223:E225)</f>
        <v>18610.580000000002</v>
      </c>
      <c r="F226" s="144"/>
      <c r="G226" s="87">
        <f>SUM(G223:G225)</f>
        <v>59745.231300000014</v>
      </c>
      <c r="H226" s="87">
        <f t="shared" ref="H226" si="56">SUM(H223:H225)</f>
        <v>397168.56999999995</v>
      </c>
      <c r="I226" s="87"/>
      <c r="J226" s="87"/>
      <c r="K226" s="87"/>
      <c r="L226" s="140"/>
      <c r="M226" s="140"/>
      <c r="N226" s="140"/>
      <c r="O226" s="140"/>
      <c r="P226" s="87">
        <v>145388.34</v>
      </c>
      <c r="Q226" s="65"/>
      <c r="R226" s="70"/>
      <c r="S226" s="50"/>
    </row>
    <row r="227" spans="1:19" s="2" customFormat="1" ht="28.5" customHeight="1" x14ac:dyDescent="0.25">
      <c r="A227" s="20"/>
      <c r="B227" s="129"/>
      <c r="C227" s="131" t="s">
        <v>41</v>
      </c>
      <c r="D227" s="99" t="s">
        <v>76</v>
      </c>
      <c r="E227" s="147">
        <v>296.06</v>
      </c>
      <c r="F227" s="153">
        <v>3.45</v>
      </c>
      <c r="G227" s="94">
        <f>E227*F227</f>
        <v>1021.407</v>
      </c>
      <c r="H227" s="94">
        <v>13322.7</v>
      </c>
      <c r="I227" s="94"/>
      <c r="J227" s="94"/>
      <c r="K227" s="94"/>
      <c r="L227" s="135"/>
      <c r="M227" s="135"/>
      <c r="N227" s="135"/>
      <c r="O227" s="135"/>
      <c r="P227" s="94">
        <v>0</v>
      </c>
      <c r="Q227" s="61"/>
      <c r="R227" s="71"/>
      <c r="S227" s="47"/>
    </row>
    <row r="228" spans="1:19" s="2" customFormat="1" ht="30.75" customHeight="1" x14ac:dyDescent="0.25">
      <c r="A228" s="20"/>
      <c r="B228" s="129"/>
      <c r="C228" s="131" t="s">
        <v>66</v>
      </c>
      <c r="D228" s="99" t="s">
        <v>76</v>
      </c>
      <c r="E228" s="147">
        <v>77.8</v>
      </c>
      <c r="F228" s="153">
        <v>3.45</v>
      </c>
      <c r="G228" s="94">
        <f>E228*F228</f>
        <v>268.41000000000003</v>
      </c>
      <c r="H228" s="94">
        <f>E228*45</f>
        <v>3501</v>
      </c>
      <c r="I228" s="94"/>
      <c r="J228" s="94"/>
      <c r="K228" s="94"/>
      <c r="L228" s="135"/>
      <c r="M228" s="135"/>
      <c r="N228" s="135"/>
      <c r="O228" s="135"/>
      <c r="P228" s="94"/>
      <c r="Q228" s="61"/>
      <c r="R228" s="71"/>
      <c r="S228" s="47"/>
    </row>
    <row r="229" spans="1:19" s="2" customFormat="1" ht="41.25" customHeight="1" x14ac:dyDescent="0.25">
      <c r="A229" s="20"/>
      <c r="B229" s="129"/>
      <c r="C229" s="131" t="s">
        <v>43</v>
      </c>
      <c r="D229" s="99"/>
      <c r="E229" s="147">
        <v>19.600000000000001</v>
      </c>
      <c r="F229" s="153">
        <v>0</v>
      </c>
      <c r="G229" s="153">
        <v>0</v>
      </c>
      <c r="H229" s="153">
        <v>0</v>
      </c>
      <c r="I229" s="153"/>
      <c r="J229" s="153"/>
      <c r="K229" s="153"/>
      <c r="L229" s="135"/>
      <c r="M229" s="135"/>
      <c r="N229" s="135"/>
      <c r="O229" s="135"/>
      <c r="P229" s="94"/>
      <c r="Q229" s="61"/>
      <c r="R229" s="71"/>
      <c r="S229" s="47"/>
    </row>
    <row r="230" spans="1:19" s="2" customFormat="1" ht="41.25" customHeight="1" x14ac:dyDescent="0.25">
      <c r="A230" s="18"/>
      <c r="B230" s="122"/>
      <c r="C230" s="132" t="s">
        <v>41</v>
      </c>
      <c r="D230" s="100" t="s">
        <v>77</v>
      </c>
      <c r="E230" s="144">
        <f>SUM(E226:E229)</f>
        <v>19004.04</v>
      </c>
      <c r="F230" s="144"/>
      <c r="G230" s="87">
        <f t="shared" ref="G230:H230" si="57">SUM(G226:G229)</f>
        <v>61035.048300000017</v>
      </c>
      <c r="H230" s="87">
        <f t="shared" si="57"/>
        <v>413992.26999999996</v>
      </c>
      <c r="I230" s="87"/>
      <c r="J230" s="87"/>
      <c r="K230" s="87"/>
      <c r="L230" s="140"/>
      <c r="M230" s="140"/>
      <c r="N230" s="140"/>
      <c r="O230" s="140"/>
      <c r="P230" s="87">
        <v>145388.34</v>
      </c>
      <c r="Q230" s="65"/>
      <c r="R230" s="70"/>
      <c r="S230" s="50"/>
    </row>
    <row r="231" spans="1:19" s="2" customFormat="1" ht="27" customHeight="1" x14ac:dyDescent="0.25">
      <c r="A231" s="20"/>
      <c r="B231" s="129"/>
      <c r="C231" s="131" t="s">
        <v>41</v>
      </c>
      <c r="D231" s="99" t="s">
        <v>78</v>
      </c>
      <c r="E231" s="147">
        <v>186.76</v>
      </c>
      <c r="F231" s="153">
        <v>3.45</v>
      </c>
      <c r="G231" s="94">
        <f>E231*F231</f>
        <v>644.322</v>
      </c>
      <c r="H231" s="94">
        <f>E231*45</f>
        <v>8404.1999999999989</v>
      </c>
      <c r="I231" s="94"/>
      <c r="J231" s="94"/>
      <c r="K231" s="94"/>
      <c r="L231" s="135"/>
      <c r="M231" s="135"/>
      <c r="N231" s="135"/>
      <c r="O231" s="135"/>
      <c r="P231" s="94">
        <v>61410.38</v>
      </c>
      <c r="Q231" s="61"/>
      <c r="R231" s="71"/>
      <c r="S231" s="47"/>
    </row>
    <row r="232" spans="1:19" s="2" customFormat="1" ht="27.75" customHeight="1" x14ac:dyDescent="0.25">
      <c r="A232" s="20"/>
      <c r="B232" s="129"/>
      <c r="C232" s="131" t="s">
        <v>66</v>
      </c>
      <c r="D232" s="99" t="s">
        <v>78</v>
      </c>
      <c r="E232" s="147">
        <v>29.45</v>
      </c>
      <c r="F232" s="153">
        <v>3.45</v>
      </c>
      <c r="G232" s="94">
        <f>E232*F232</f>
        <v>101.60250000000001</v>
      </c>
      <c r="H232" s="94">
        <f>E232*45</f>
        <v>1325.25</v>
      </c>
      <c r="I232" s="94"/>
      <c r="J232" s="94"/>
      <c r="K232" s="94"/>
      <c r="L232" s="135"/>
      <c r="M232" s="135"/>
      <c r="N232" s="135"/>
      <c r="O232" s="135"/>
      <c r="P232" s="94"/>
      <c r="Q232" s="61"/>
      <c r="R232" s="71"/>
      <c r="S232" s="47"/>
    </row>
    <row r="233" spans="1:19" s="2" customFormat="1" ht="41.25" customHeight="1" x14ac:dyDescent="0.25">
      <c r="A233" s="18"/>
      <c r="B233" s="122"/>
      <c r="C233" s="132" t="s">
        <v>41</v>
      </c>
      <c r="D233" s="100" t="s">
        <v>79</v>
      </c>
      <c r="E233" s="144">
        <f>SUM(E230:E232)</f>
        <v>19220.25</v>
      </c>
      <c r="F233" s="144"/>
      <c r="G233" s="87">
        <f t="shared" ref="G233:H233" si="58">SUM(G230:G232)</f>
        <v>61780.972800000018</v>
      </c>
      <c r="H233" s="87">
        <f t="shared" si="58"/>
        <v>423721.72</v>
      </c>
      <c r="I233" s="87"/>
      <c r="J233" s="87"/>
      <c r="K233" s="87"/>
      <c r="L233" s="140"/>
      <c r="M233" s="140"/>
      <c r="N233" s="140"/>
      <c r="O233" s="140"/>
      <c r="P233" s="87">
        <f>P230+P231</f>
        <v>206798.72</v>
      </c>
      <c r="Q233" s="65"/>
      <c r="R233" s="70"/>
      <c r="S233" s="50"/>
    </row>
    <row r="234" spans="1:19" s="2" customFormat="1" ht="26.25" customHeight="1" x14ac:dyDescent="0.25">
      <c r="A234" s="20"/>
      <c r="B234" s="129"/>
      <c r="C234" s="131" t="s">
        <v>41</v>
      </c>
      <c r="D234" s="99" t="s">
        <v>82</v>
      </c>
      <c r="E234" s="147">
        <v>125.14</v>
      </c>
      <c r="F234" s="153">
        <v>3.45</v>
      </c>
      <c r="G234" s="94">
        <f>E234*F234</f>
        <v>431.733</v>
      </c>
      <c r="H234" s="94">
        <f>E234*57</f>
        <v>7132.9800000000005</v>
      </c>
      <c r="I234" s="94"/>
      <c r="J234" s="94"/>
      <c r="K234" s="94"/>
      <c r="L234" s="135"/>
      <c r="M234" s="135"/>
      <c r="N234" s="135"/>
      <c r="O234" s="135"/>
      <c r="P234" s="94">
        <v>122731.52</v>
      </c>
      <c r="Q234" s="61"/>
      <c r="R234" s="71"/>
      <c r="S234" s="47"/>
    </row>
    <row r="235" spans="1:19" s="2" customFormat="1" ht="28.5" customHeight="1" x14ac:dyDescent="0.25">
      <c r="A235" s="20"/>
      <c r="B235" s="129"/>
      <c r="C235" s="131" t="s">
        <v>66</v>
      </c>
      <c r="D235" s="99" t="s">
        <v>82</v>
      </c>
      <c r="E235" s="147">
        <v>44.98</v>
      </c>
      <c r="F235" s="153">
        <v>3.45</v>
      </c>
      <c r="G235" s="94">
        <f>E235*F235</f>
        <v>155.18099999999998</v>
      </c>
      <c r="H235" s="94">
        <f>E235*57</f>
        <v>2563.8599999999997</v>
      </c>
      <c r="I235" s="94"/>
      <c r="J235" s="94"/>
      <c r="K235" s="94"/>
      <c r="L235" s="135"/>
      <c r="M235" s="135"/>
      <c r="N235" s="135"/>
      <c r="O235" s="135"/>
      <c r="P235" s="94"/>
      <c r="Q235" s="61"/>
      <c r="R235" s="71"/>
      <c r="S235" s="47"/>
    </row>
    <row r="236" spans="1:19" s="2" customFormat="1" ht="41.25" customHeight="1" x14ac:dyDescent="0.25">
      <c r="A236" s="18"/>
      <c r="B236" s="122"/>
      <c r="C236" s="132" t="s">
        <v>41</v>
      </c>
      <c r="D236" s="100" t="s">
        <v>81</v>
      </c>
      <c r="E236" s="144">
        <f>SUM(E233:E235)</f>
        <v>19390.37</v>
      </c>
      <c r="F236" s="144"/>
      <c r="G236" s="87">
        <f t="shared" ref="G236:P236" si="59">SUM(G233:G235)</f>
        <v>62367.886800000015</v>
      </c>
      <c r="H236" s="87">
        <f t="shared" si="59"/>
        <v>433418.55999999994</v>
      </c>
      <c r="I236" s="87"/>
      <c r="J236" s="87"/>
      <c r="K236" s="87"/>
      <c r="L236" s="87"/>
      <c r="M236" s="87"/>
      <c r="N236" s="87"/>
      <c r="O236" s="87"/>
      <c r="P236" s="87">
        <f t="shared" si="59"/>
        <v>329530.23999999999</v>
      </c>
      <c r="Q236" s="65"/>
      <c r="R236" s="70"/>
      <c r="S236" s="50"/>
    </row>
    <row r="237" spans="1:19" s="2" customFormat="1" ht="30" customHeight="1" x14ac:dyDescent="0.25">
      <c r="A237" s="20"/>
      <c r="B237" s="129"/>
      <c r="C237" s="131" t="s">
        <v>41</v>
      </c>
      <c r="D237" s="99" t="s">
        <v>84</v>
      </c>
      <c r="E237" s="147">
        <v>264.14</v>
      </c>
      <c r="F237" s="153">
        <v>3.45</v>
      </c>
      <c r="G237" s="94">
        <f>E237*F237</f>
        <v>911.28300000000002</v>
      </c>
      <c r="H237" s="94">
        <f>E237*57</f>
        <v>15055.98</v>
      </c>
      <c r="I237" s="94"/>
      <c r="J237" s="94"/>
      <c r="K237" s="94"/>
      <c r="L237" s="94"/>
      <c r="M237" s="94"/>
      <c r="N237" s="94"/>
      <c r="O237" s="94"/>
      <c r="P237" s="94">
        <v>0</v>
      </c>
      <c r="Q237" s="61"/>
      <c r="R237" s="71"/>
      <c r="S237" s="47"/>
    </row>
    <row r="238" spans="1:19" s="2" customFormat="1" ht="30.75" customHeight="1" x14ac:dyDescent="0.25">
      <c r="A238" s="20"/>
      <c r="B238" s="129"/>
      <c r="C238" s="131" t="s">
        <v>66</v>
      </c>
      <c r="D238" s="99" t="s">
        <v>84</v>
      </c>
      <c r="E238" s="147">
        <v>155.41999999999999</v>
      </c>
      <c r="F238" s="153">
        <v>3.45</v>
      </c>
      <c r="G238" s="94">
        <f>E238*F237</f>
        <v>536.19899999999996</v>
      </c>
      <c r="H238" s="94">
        <f>E238*57</f>
        <v>8858.9399999999987</v>
      </c>
      <c r="I238" s="94"/>
      <c r="J238" s="94"/>
      <c r="K238" s="94"/>
      <c r="L238" s="94"/>
      <c r="M238" s="94"/>
      <c r="N238" s="94"/>
      <c r="O238" s="94"/>
      <c r="P238" s="94"/>
      <c r="Q238" s="61"/>
      <c r="R238" s="71"/>
      <c r="S238" s="47"/>
    </row>
    <row r="239" spans="1:19" s="2" customFormat="1" ht="41.25" customHeight="1" x14ac:dyDescent="0.25">
      <c r="A239" s="18"/>
      <c r="B239" s="122"/>
      <c r="C239" s="132" t="s">
        <v>41</v>
      </c>
      <c r="D239" s="100" t="s">
        <v>86</v>
      </c>
      <c r="E239" s="144">
        <f>SUM(E236:E238)</f>
        <v>19809.929999999997</v>
      </c>
      <c r="F239" s="144"/>
      <c r="G239" s="87">
        <f t="shared" ref="G239:P239" si="60">SUM(G236:G238)</f>
        <v>63815.368800000018</v>
      </c>
      <c r="H239" s="87">
        <f t="shared" si="60"/>
        <v>457333.47999999992</v>
      </c>
      <c r="I239" s="87"/>
      <c r="J239" s="87"/>
      <c r="K239" s="87"/>
      <c r="L239" s="87"/>
      <c r="M239" s="87"/>
      <c r="N239" s="87"/>
      <c r="O239" s="87"/>
      <c r="P239" s="87">
        <f t="shared" si="60"/>
        <v>329530.23999999999</v>
      </c>
      <c r="Q239" s="144"/>
      <c r="R239" s="144"/>
      <c r="S239" s="50"/>
    </row>
    <row r="240" spans="1:19" s="2" customFormat="1" ht="28.5" customHeight="1" x14ac:dyDescent="0.25">
      <c r="A240" s="20"/>
      <c r="B240" s="129"/>
      <c r="C240" s="131" t="s">
        <v>41</v>
      </c>
      <c r="D240" s="99" t="s">
        <v>89</v>
      </c>
      <c r="E240" s="147">
        <v>368.64</v>
      </c>
      <c r="F240" s="153">
        <v>3.45</v>
      </c>
      <c r="G240" s="94">
        <f>E240*F240</f>
        <v>1271.808</v>
      </c>
      <c r="H240" s="94">
        <f>E240*57</f>
        <v>21012.48</v>
      </c>
      <c r="I240" s="94"/>
      <c r="J240" s="94"/>
      <c r="K240" s="94"/>
      <c r="L240" s="94"/>
      <c r="M240" s="94"/>
      <c r="N240" s="94"/>
      <c r="O240" s="94"/>
      <c r="P240" s="94">
        <v>0</v>
      </c>
      <c r="Q240" s="147"/>
      <c r="R240" s="214"/>
      <c r="S240" s="47"/>
    </row>
    <row r="241" spans="1:19" s="2" customFormat="1" ht="41.25" customHeight="1" x14ac:dyDescent="0.25">
      <c r="A241" s="20"/>
      <c r="B241" s="129"/>
      <c r="C241" s="131" t="s">
        <v>43</v>
      </c>
      <c r="D241" s="99"/>
      <c r="E241" s="147">
        <v>12.22</v>
      </c>
      <c r="F241" s="147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147"/>
      <c r="R241" s="214"/>
      <c r="S241" s="47"/>
    </row>
    <row r="242" spans="1:19" s="2" customFormat="1" ht="27" customHeight="1" x14ac:dyDescent="0.25">
      <c r="A242" s="20"/>
      <c r="B242" s="129"/>
      <c r="C242" s="131" t="s">
        <v>66</v>
      </c>
      <c r="D242" s="99" t="s">
        <v>89</v>
      </c>
      <c r="E242" s="147">
        <v>76.88</v>
      </c>
      <c r="F242" s="153">
        <v>3.45</v>
      </c>
      <c r="G242" s="94">
        <f>E242*F242</f>
        <v>265.23599999999999</v>
      </c>
      <c r="H242" s="94">
        <f>E242*57</f>
        <v>4382.16</v>
      </c>
      <c r="I242" s="94"/>
      <c r="J242" s="94"/>
      <c r="K242" s="94"/>
      <c r="L242" s="94"/>
      <c r="M242" s="94"/>
      <c r="N242" s="94"/>
      <c r="O242" s="94"/>
      <c r="P242" s="94"/>
      <c r="Q242" s="147"/>
      <c r="R242" s="214"/>
      <c r="S242" s="47"/>
    </row>
    <row r="243" spans="1:19" s="2" customFormat="1" ht="41.25" customHeight="1" x14ac:dyDescent="0.25">
      <c r="A243" s="18"/>
      <c r="B243" s="122"/>
      <c r="C243" s="132" t="s">
        <v>41</v>
      </c>
      <c r="D243" s="100" t="s">
        <v>90</v>
      </c>
      <c r="E243" s="144">
        <f>SUM(E239:E242)</f>
        <v>20267.669999999998</v>
      </c>
      <c r="F243" s="144"/>
      <c r="G243" s="87">
        <f t="shared" ref="G243:P243" si="61">SUM(G239:G242)</f>
        <v>65352.412800000013</v>
      </c>
      <c r="H243" s="87">
        <f t="shared" si="61"/>
        <v>482728.11999999988</v>
      </c>
      <c r="I243" s="87"/>
      <c r="J243" s="87"/>
      <c r="K243" s="87"/>
      <c r="L243" s="87"/>
      <c r="M243" s="87"/>
      <c r="N243" s="87"/>
      <c r="O243" s="87"/>
      <c r="P243" s="87">
        <f t="shared" si="61"/>
        <v>329530.23999999999</v>
      </c>
      <c r="Q243" s="144"/>
      <c r="R243" s="213"/>
      <c r="S243" s="50"/>
    </row>
    <row r="244" spans="1:19" s="2" customFormat="1" ht="30" customHeight="1" x14ac:dyDescent="0.25">
      <c r="A244" s="20"/>
      <c r="B244" s="129"/>
      <c r="C244" s="131" t="s">
        <v>41</v>
      </c>
      <c r="D244" s="99" t="s">
        <v>93</v>
      </c>
      <c r="E244" s="147">
        <v>378.66</v>
      </c>
      <c r="F244" s="153">
        <v>3.45</v>
      </c>
      <c r="G244" s="94">
        <f>SUM(E244*F244)</f>
        <v>1306.3770000000002</v>
      </c>
      <c r="H244" s="94">
        <f>E244*57</f>
        <v>21583.620000000003</v>
      </c>
      <c r="I244" s="94"/>
      <c r="J244" s="94"/>
      <c r="K244" s="94"/>
      <c r="L244" s="94"/>
      <c r="M244" s="94"/>
      <c r="N244" s="94"/>
      <c r="O244" s="94"/>
      <c r="P244" s="94">
        <v>50442</v>
      </c>
      <c r="Q244" s="147"/>
      <c r="R244" s="214"/>
      <c r="S244" s="47"/>
    </row>
    <row r="245" spans="1:19" s="2" customFormat="1" ht="30" customHeight="1" x14ac:dyDescent="0.25">
      <c r="A245" s="20"/>
      <c r="B245" s="129"/>
      <c r="C245" s="131" t="s">
        <v>66</v>
      </c>
      <c r="D245" s="99" t="s">
        <v>93</v>
      </c>
      <c r="E245" s="147">
        <v>44</v>
      </c>
      <c r="F245" s="153">
        <v>3.45</v>
      </c>
      <c r="G245" s="94">
        <f>SUM(E245*F245)</f>
        <v>151.80000000000001</v>
      </c>
      <c r="H245" s="94">
        <f>E245*57</f>
        <v>2508</v>
      </c>
      <c r="I245" s="94"/>
      <c r="J245" s="94"/>
      <c r="K245" s="94"/>
      <c r="L245" s="94"/>
      <c r="M245" s="94"/>
      <c r="N245" s="94"/>
      <c r="O245" s="94"/>
      <c r="P245" s="94"/>
      <c r="Q245" s="147"/>
      <c r="R245" s="214"/>
      <c r="S245" s="47"/>
    </row>
    <row r="246" spans="1:19" s="2" customFormat="1" ht="41.25" customHeight="1" x14ac:dyDescent="0.25">
      <c r="A246" s="18"/>
      <c r="B246" s="122"/>
      <c r="C246" s="132" t="s">
        <v>41</v>
      </c>
      <c r="D246" s="100" t="s">
        <v>94</v>
      </c>
      <c r="E246" s="144">
        <f>SUM(E243:E245)</f>
        <v>20690.329999999998</v>
      </c>
      <c r="F246" s="144"/>
      <c r="G246" s="87">
        <f t="shared" ref="G246:H246" si="62">SUM(G243:G245)</f>
        <v>66810.589800000016</v>
      </c>
      <c r="H246" s="87">
        <f t="shared" si="62"/>
        <v>506819.73999999987</v>
      </c>
      <c r="I246" s="87"/>
      <c r="J246" s="87"/>
      <c r="K246" s="87"/>
      <c r="L246" s="87"/>
      <c r="M246" s="87"/>
      <c r="N246" s="87"/>
      <c r="O246" s="87"/>
      <c r="P246" s="87">
        <f>SUM(P243:P245)</f>
        <v>379972.24</v>
      </c>
      <c r="Q246" s="144"/>
      <c r="R246" s="213"/>
      <c r="S246" s="50"/>
    </row>
    <row r="247" spans="1:19" s="2" customFormat="1" ht="87.75" customHeight="1" x14ac:dyDescent="0.25">
      <c r="A247" s="20"/>
      <c r="B247" s="129"/>
      <c r="C247" s="131" t="s">
        <v>41</v>
      </c>
      <c r="D247" s="99" t="s">
        <v>96</v>
      </c>
      <c r="E247" s="147">
        <v>379.2</v>
      </c>
      <c r="F247" s="153">
        <v>5.6</v>
      </c>
      <c r="G247" s="94">
        <f>E247*F247</f>
        <v>2123.52</v>
      </c>
      <c r="H247" s="94">
        <v>34921.08</v>
      </c>
      <c r="I247" s="94"/>
      <c r="J247" s="94"/>
      <c r="K247" s="94"/>
      <c r="L247" s="94"/>
      <c r="M247" s="94"/>
      <c r="N247" s="94"/>
      <c r="O247" s="94"/>
      <c r="P247" s="220" t="s">
        <v>109</v>
      </c>
      <c r="Q247" s="147"/>
      <c r="R247" s="214"/>
      <c r="S247" s="258" t="s">
        <v>104</v>
      </c>
    </row>
    <row r="248" spans="1:19" s="2" customFormat="1" ht="48" customHeight="1" x14ac:dyDescent="0.25">
      <c r="A248" s="20"/>
      <c r="B248" s="129"/>
      <c r="C248" s="131" t="s">
        <v>66</v>
      </c>
      <c r="D248" s="99" t="s">
        <v>96</v>
      </c>
      <c r="E248" s="147">
        <v>93.5</v>
      </c>
      <c r="F248" s="153">
        <v>5.6</v>
      </c>
      <c r="G248" s="94">
        <f>E248*F248</f>
        <v>523.6</v>
      </c>
      <c r="H248" s="94">
        <v>8365.1</v>
      </c>
      <c r="I248" s="94"/>
      <c r="J248" s="94"/>
      <c r="K248" s="94"/>
      <c r="L248" s="94"/>
      <c r="M248" s="94"/>
      <c r="N248" s="94"/>
      <c r="O248" s="94"/>
      <c r="P248" s="94"/>
      <c r="Q248" s="147"/>
      <c r="R248" s="214"/>
      <c r="S248" s="259"/>
    </row>
    <row r="249" spans="1:19" s="2" customFormat="1" ht="41.25" customHeight="1" x14ac:dyDescent="0.25">
      <c r="A249" s="18"/>
      <c r="B249" s="122"/>
      <c r="C249" s="132" t="s">
        <v>41</v>
      </c>
      <c r="D249" s="100" t="s">
        <v>97</v>
      </c>
      <c r="E249" s="144">
        <f>SUM(E246:E248)</f>
        <v>21163.03</v>
      </c>
      <c r="F249" s="144"/>
      <c r="G249" s="87">
        <f>SUM(G246:G248)</f>
        <v>69457.709800000026</v>
      </c>
      <c r="H249" s="87">
        <f t="shared" ref="H249" si="63">SUM(H246:H248)</f>
        <v>550105.91999999981</v>
      </c>
      <c r="I249" s="87"/>
      <c r="J249" s="87"/>
      <c r="K249" s="87"/>
      <c r="L249" s="87"/>
      <c r="M249" s="87"/>
      <c r="N249" s="87"/>
      <c r="O249" s="87"/>
      <c r="P249" s="221" t="s">
        <v>110</v>
      </c>
      <c r="Q249" s="144"/>
      <c r="R249" s="213"/>
      <c r="S249" s="50"/>
    </row>
    <row r="250" spans="1:19" s="2" customFormat="1" ht="48.75" customHeight="1" x14ac:dyDescent="0.25">
      <c r="A250" s="20"/>
      <c r="B250" s="129"/>
      <c r="C250" s="131" t="s">
        <v>41</v>
      </c>
      <c r="D250" s="99" t="s">
        <v>119</v>
      </c>
      <c r="E250" s="147">
        <v>403.61</v>
      </c>
      <c r="F250" s="153">
        <v>5.6</v>
      </c>
      <c r="G250" s="94">
        <f>E250*F250</f>
        <v>2260.2159999999999</v>
      </c>
      <c r="H250" s="94">
        <f>E250*69</f>
        <v>27849.09</v>
      </c>
      <c r="I250" s="94"/>
      <c r="J250" s="94"/>
      <c r="K250" s="94"/>
      <c r="L250" s="94"/>
      <c r="M250" s="94"/>
      <c r="N250" s="94"/>
      <c r="O250" s="94"/>
      <c r="P250" s="220" t="s">
        <v>121</v>
      </c>
      <c r="Q250" s="147"/>
      <c r="R250" s="214"/>
      <c r="S250" s="47"/>
    </row>
    <row r="251" spans="1:19" s="2" customFormat="1" ht="30" customHeight="1" x14ac:dyDescent="0.25">
      <c r="A251" s="20"/>
      <c r="B251" s="129"/>
      <c r="C251" s="131" t="s">
        <v>66</v>
      </c>
      <c r="D251" s="99" t="s">
        <v>119</v>
      </c>
      <c r="E251" s="147">
        <v>67.56</v>
      </c>
      <c r="F251" s="153">
        <v>5.6</v>
      </c>
      <c r="G251" s="94">
        <f>E251*F251</f>
        <v>378.33600000000001</v>
      </c>
      <c r="H251" s="94">
        <f>E251*69</f>
        <v>4661.6400000000003</v>
      </c>
      <c r="I251" s="94"/>
      <c r="J251" s="94"/>
      <c r="K251" s="94"/>
      <c r="L251" s="94"/>
      <c r="M251" s="94"/>
      <c r="N251" s="94"/>
      <c r="O251" s="94"/>
      <c r="P251" s="220"/>
      <c r="Q251" s="147"/>
      <c r="R251" s="214"/>
      <c r="S251" s="47"/>
    </row>
    <row r="252" spans="1:19" s="2" customFormat="1" ht="41.25" customHeight="1" x14ac:dyDescent="0.25">
      <c r="A252" s="18"/>
      <c r="B252" s="122"/>
      <c r="C252" s="132" t="s">
        <v>41</v>
      </c>
      <c r="D252" s="100" t="s">
        <v>120</v>
      </c>
      <c r="E252" s="144">
        <f>SUM(E249:E251)</f>
        <v>21634.2</v>
      </c>
      <c r="F252" s="144"/>
      <c r="G252" s="87">
        <f t="shared" ref="G252:H252" si="64">SUM(G249:G251)</f>
        <v>72096.261800000022</v>
      </c>
      <c r="H252" s="87">
        <f t="shared" si="64"/>
        <v>582616.64999999979</v>
      </c>
      <c r="I252" s="87"/>
      <c r="J252" s="87"/>
      <c r="K252" s="87"/>
      <c r="L252" s="87"/>
      <c r="M252" s="87"/>
      <c r="N252" s="87"/>
      <c r="O252" s="87"/>
      <c r="P252" s="221" t="s">
        <v>132</v>
      </c>
      <c r="Q252" s="144"/>
      <c r="R252" s="213"/>
      <c r="S252" s="50"/>
    </row>
    <row r="253" spans="1:19" s="2" customFormat="1" ht="27" customHeight="1" x14ac:dyDescent="0.25">
      <c r="A253" s="20"/>
      <c r="B253" s="129"/>
      <c r="C253" s="131" t="s">
        <v>41</v>
      </c>
      <c r="D253" s="99" t="s">
        <v>139</v>
      </c>
      <c r="E253" s="147">
        <v>401.22</v>
      </c>
      <c r="F253" s="153">
        <v>5.6</v>
      </c>
      <c r="G253" s="94">
        <f>SUM(E253*F253)</f>
        <v>2246.8319999999999</v>
      </c>
      <c r="H253" s="94">
        <f>SUM(E253*69)</f>
        <v>27684.18</v>
      </c>
      <c r="I253" s="94"/>
      <c r="J253" s="94"/>
      <c r="K253" s="94"/>
      <c r="L253" s="94"/>
      <c r="M253" s="94"/>
      <c r="N253" s="94"/>
      <c r="O253" s="94"/>
      <c r="P253" s="220">
        <v>0</v>
      </c>
      <c r="Q253" s="147"/>
      <c r="R253" s="214"/>
      <c r="S253" s="47"/>
    </row>
    <row r="254" spans="1:19" s="2" customFormat="1" ht="27" customHeight="1" x14ac:dyDescent="0.25">
      <c r="A254" s="20"/>
      <c r="B254" s="129"/>
      <c r="C254" s="131" t="s">
        <v>66</v>
      </c>
      <c r="D254" s="99" t="s">
        <v>139</v>
      </c>
      <c r="E254" s="147">
        <v>62.16</v>
      </c>
      <c r="F254" s="153">
        <v>5.6</v>
      </c>
      <c r="G254" s="94">
        <f>SUM(E254*F254)</f>
        <v>348.09599999999995</v>
      </c>
      <c r="H254" s="94">
        <f>SUM(E254*69)</f>
        <v>4289.04</v>
      </c>
      <c r="I254" s="94"/>
      <c r="J254" s="94"/>
      <c r="K254" s="94"/>
      <c r="L254" s="94"/>
      <c r="M254" s="94"/>
      <c r="N254" s="94"/>
      <c r="O254" s="94"/>
      <c r="P254" s="220"/>
      <c r="Q254" s="147"/>
      <c r="R254" s="214"/>
      <c r="S254" s="47"/>
    </row>
    <row r="255" spans="1:19" s="2" customFormat="1" ht="41.25" customHeight="1" x14ac:dyDescent="0.25">
      <c r="A255" s="18"/>
      <c r="B255" s="122"/>
      <c r="C255" s="132" t="s">
        <v>41</v>
      </c>
      <c r="D255" s="100" t="s">
        <v>140</v>
      </c>
      <c r="E255" s="144">
        <f>SUM(E252:E254)</f>
        <v>22097.58</v>
      </c>
      <c r="F255" s="144"/>
      <c r="G255" s="87">
        <f t="shared" ref="G255:H255" si="65">SUM(G252:G254)</f>
        <v>74691.189800000022</v>
      </c>
      <c r="H255" s="87">
        <f t="shared" si="65"/>
        <v>614589.86999999988</v>
      </c>
      <c r="I255" s="87"/>
      <c r="J255" s="87"/>
      <c r="K255" s="87"/>
      <c r="L255" s="87"/>
      <c r="M255" s="87"/>
      <c r="N255" s="87"/>
      <c r="O255" s="87"/>
      <c r="P255" s="221" t="s">
        <v>132</v>
      </c>
      <c r="Q255" s="144"/>
      <c r="R255" s="213"/>
      <c r="S255" s="50"/>
    </row>
    <row r="256" spans="1:19" s="2" customFormat="1" ht="28.5" customHeight="1" x14ac:dyDescent="0.25">
      <c r="A256" s="20"/>
      <c r="B256" s="129"/>
      <c r="C256" s="131" t="s">
        <v>41</v>
      </c>
      <c r="D256" s="99" t="s">
        <v>144</v>
      </c>
      <c r="E256" s="147">
        <v>377.82</v>
      </c>
      <c r="F256" s="153">
        <v>5.6</v>
      </c>
      <c r="G256" s="94">
        <v>2115.7919999999999</v>
      </c>
      <c r="H256" s="94">
        <v>26069.579999999998</v>
      </c>
      <c r="I256" s="94"/>
      <c r="J256" s="94"/>
      <c r="K256" s="94"/>
      <c r="L256" s="94"/>
      <c r="M256" s="94"/>
      <c r="N256" s="94"/>
      <c r="O256" s="94"/>
      <c r="P256" s="220" t="s">
        <v>146</v>
      </c>
      <c r="Q256" s="147"/>
      <c r="R256" s="214"/>
      <c r="S256" s="47"/>
    </row>
    <row r="257" spans="1:19" s="2" customFormat="1" ht="26.25" customHeight="1" x14ac:dyDescent="0.25">
      <c r="A257" s="20"/>
      <c r="B257" s="129"/>
      <c r="C257" s="131" t="s">
        <v>66</v>
      </c>
      <c r="D257" s="99" t="s">
        <v>144</v>
      </c>
      <c r="E257" s="147">
        <v>85.65</v>
      </c>
      <c r="F257" s="153">
        <v>5.6</v>
      </c>
      <c r="G257" s="94">
        <v>479.64</v>
      </c>
      <c r="H257" s="94">
        <v>5909.85</v>
      </c>
      <c r="I257" s="94"/>
      <c r="J257" s="94"/>
      <c r="K257" s="94"/>
      <c r="L257" s="94"/>
      <c r="M257" s="94"/>
      <c r="N257" s="94"/>
      <c r="O257" s="94"/>
      <c r="P257" s="220"/>
      <c r="Q257" s="147"/>
      <c r="R257" s="214"/>
      <c r="S257" s="47"/>
    </row>
    <row r="258" spans="1:19" s="2" customFormat="1" ht="41.25" customHeight="1" x14ac:dyDescent="0.25">
      <c r="A258" s="18"/>
      <c r="B258" s="122"/>
      <c r="C258" s="132" t="s">
        <v>41</v>
      </c>
      <c r="D258" s="100" t="s">
        <v>145</v>
      </c>
      <c r="E258" s="144">
        <f>SUM(E255:E257)</f>
        <v>22561.050000000003</v>
      </c>
      <c r="F258" s="144"/>
      <c r="G258" s="87">
        <f t="shared" ref="G258:H258" si="66">SUM(G255:G257)</f>
        <v>77286.621800000023</v>
      </c>
      <c r="H258" s="87">
        <f t="shared" si="66"/>
        <v>646569.29999999981</v>
      </c>
      <c r="I258" s="87"/>
      <c r="J258" s="87"/>
      <c r="K258" s="87"/>
      <c r="L258" s="87"/>
      <c r="M258" s="87"/>
      <c r="N258" s="87"/>
      <c r="O258" s="87"/>
      <c r="P258" s="221" t="s">
        <v>147</v>
      </c>
      <c r="Q258" s="144"/>
      <c r="R258" s="213"/>
      <c r="S258" s="50"/>
    </row>
    <row r="259" spans="1:19" s="2" customFormat="1" ht="41.25" customHeight="1" x14ac:dyDescent="0.25">
      <c r="A259" s="20"/>
      <c r="B259" s="129"/>
      <c r="C259" s="131" t="s">
        <v>173</v>
      </c>
      <c r="D259" s="99" t="s">
        <v>165</v>
      </c>
      <c r="E259" s="147">
        <v>485.6</v>
      </c>
      <c r="F259" s="153">
        <v>5.6</v>
      </c>
      <c r="G259" s="94">
        <f>E259*F259</f>
        <v>2719.36</v>
      </c>
      <c r="H259" s="94">
        <f>E259*82</f>
        <v>39819.200000000004</v>
      </c>
      <c r="I259" s="94"/>
      <c r="J259" s="94"/>
      <c r="K259" s="94"/>
      <c r="L259" s="94"/>
      <c r="M259" s="94"/>
      <c r="N259" s="94"/>
      <c r="O259" s="94"/>
      <c r="P259" s="220" t="s">
        <v>174</v>
      </c>
      <c r="Q259" s="147"/>
      <c r="R259" s="214"/>
      <c r="S259" s="47"/>
    </row>
    <row r="260" spans="1:19" s="2" customFormat="1" ht="41.25" customHeight="1" x14ac:dyDescent="0.25">
      <c r="A260" s="18"/>
      <c r="B260" s="122"/>
      <c r="C260" s="132" t="s">
        <v>41</v>
      </c>
      <c r="D260" s="100" t="s">
        <v>167</v>
      </c>
      <c r="E260" s="144">
        <f>SUM(E258:E259)</f>
        <v>23046.65</v>
      </c>
      <c r="F260" s="144"/>
      <c r="G260" s="87">
        <f t="shared" ref="G260:H260" si="67">SUM(G258:G259)</f>
        <v>80005.981800000023</v>
      </c>
      <c r="H260" s="87">
        <f t="shared" si="67"/>
        <v>686388.49999999977</v>
      </c>
      <c r="I260" s="87"/>
      <c r="J260" s="87"/>
      <c r="K260" s="87"/>
      <c r="L260" s="87"/>
      <c r="M260" s="87"/>
      <c r="N260" s="87"/>
      <c r="O260" s="87"/>
      <c r="P260" s="221" t="s">
        <v>175</v>
      </c>
      <c r="Q260" s="144"/>
      <c r="R260" s="213"/>
      <c r="S260" s="50"/>
    </row>
    <row r="261" spans="1:19" s="2" customFormat="1" ht="41.25" customHeight="1" x14ac:dyDescent="0.25">
      <c r="A261" s="20"/>
      <c r="B261" s="129"/>
      <c r="C261" s="131" t="s">
        <v>173</v>
      </c>
      <c r="D261" s="99" t="s">
        <v>166</v>
      </c>
      <c r="E261" s="147">
        <v>518.67999999999995</v>
      </c>
      <c r="F261" s="153">
        <v>5.6</v>
      </c>
      <c r="G261" s="94">
        <f>157.11*5.6</f>
        <v>879.81600000000003</v>
      </c>
      <c r="H261" s="94">
        <f>157.11*82</f>
        <v>12883.02</v>
      </c>
      <c r="I261" s="94">
        <f>361.57*5.6</f>
        <v>2024.7919999999999</v>
      </c>
      <c r="J261" s="94">
        <f>361.57*82</f>
        <v>29648.739999999998</v>
      </c>
      <c r="K261" s="94"/>
      <c r="L261" s="94"/>
      <c r="M261" s="94"/>
      <c r="N261" s="94"/>
      <c r="O261" s="94"/>
      <c r="P261" s="220">
        <v>0</v>
      </c>
      <c r="Q261" s="147"/>
      <c r="R261" s="214"/>
      <c r="S261" s="47"/>
    </row>
    <row r="262" spans="1:19" s="2" customFormat="1" ht="41.25" customHeight="1" x14ac:dyDescent="0.25">
      <c r="A262" s="18"/>
      <c r="B262" s="122"/>
      <c r="C262" s="132" t="s">
        <v>41</v>
      </c>
      <c r="D262" s="100" t="s">
        <v>168</v>
      </c>
      <c r="E262" s="144">
        <f>SUM(E260:E261)</f>
        <v>23565.33</v>
      </c>
      <c r="F262" s="144"/>
      <c r="G262" s="87">
        <f t="shared" ref="G262:J262" si="68">SUM(G260:G261)</f>
        <v>80885.797800000029</v>
      </c>
      <c r="H262" s="87">
        <f t="shared" si="68"/>
        <v>699271.51999999979</v>
      </c>
      <c r="I262" s="87">
        <f t="shared" si="68"/>
        <v>2024.7919999999999</v>
      </c>
      <c r="J262" s="87">
        <f t="shared" si="68"/>
        <v>29648.739999999998</v>
      </c>
      <c r="K262" s="87"/>
      <c r="L262" s="87"/>
      <c r="M262" s="87"/>
      <c r="N262" s="87"/>
      <c r="O262" s="87"/>
      <c r="P262" s="221" t="s">
        <v>175</v>
      </c>
      <c r="Q262" s="144"/>
      <c r="R262" s="213"/>
      <c r="S262" s="50"/>
    </row>
    <row r="263" spans="1:19" s="236" customFormat="1" ht="41.25" customHeight="1" x14ac:dyDescent="0.25">
      <c r="A263" s="230"/>
      <c r="B263" s="237"/>
      <c r="C263" s="131" t="s">
        <v>173</v>
      </c>
      <c r="D263" s="99" t="s">
        <v>195</v>
      </c>
      <c r="E263" s="243">
        <v>539.09</v>
      </c>
      <c r="F263" s="153">
        <v>5.6</v>
      </c>
      <c r="G263" s="94">
        <f>361.57*5.6</f>
        <v>2024.7919999999999</v>
      </c>
      <c r="H263" s="94">
        <f>361.57*82</f>
        <v>29648.739999999998</v>
      </c>
      <c r="I263" s="232">
        <f>E263*5.6</f>
        <v>3018.904</v>
      </c>
      <c r="J263" s="232">
        <f>E263*82</f>
        <v>44205.380000000005</v>
      </c>
      <c r="K263" s="232"/>
      <c r="L263" s="232"/>
      <c r="M263" s="232"/>
      <c r="N263" s="232"/>
      <c r="O263" s="232"/>
      <c r="P263" s="233" t="s">
        <v>198</v>
      </c>
      <c r="Q263" s="243"/>
      <c r="R263" s="244"/>
      <c r="S263" s="235"/>
    </row>
    <row r="264" spans="1:19" s="2" customFormat="1" ht="41.25" customHeight="1" x14ac:dyDescent="0.25">
      <c r="A264" s="18"/>
      <c r="B264" s="122"/>
      <c r="C264" s="132" t="s">
        <v>41</v>
      </c>
      <c r="D264" s="100" t="s">
        <v>196</v>
      </c>
      <c r="E264" s="144">
        <f>SUM(E262:E263)</f>
        <v>24104.420000000002</v>
      </c>
      <c r="F264" s="144"/>
      <c r="G264" s="87">
        <f>SUM(G262:G263)</f>
        <v>82910.589800000031</v>
      </c>
      <c r="H264" s="87">
        <f>SUM(H262:H263)</f>
        <v>728920.25999999978</v>
      </c>
      <c r="I264" s="87">
        <v>3018.9</v>
      </c>
      <c r="J264" s="87">
        <v>44205.38</v>
      </c>
      <c r="K264" s="87"/>
      <c r="L264" s="87"/>
      <c r="M264" s="87"/>
      <c r="N264" s="87"/>
      <c r="O264" s="87"/>
      <c r="P264" s="221" t="s">
        <v>197</v>
      </c>
      <c r="Q264" s="144"/>
      <c r="R264" s="213"/>
      <c r="S264" s="50"/>
    </row>
    <row r="265" spans="1:19" s="236" customFormat="1" ht="41.25" customHeight="1" x14ac:dyDescent="0.25">
      <c r="A265" s="230"/>
      <c r="B265" s="237"/>
      <c r="C265" s="131" t="s">
        <v>173</v>
      </c>
      <c r="D265" s="99" t="s">
        <v>201</v>
      </c>
      <c r="E265" s="243">
        <v>499.86</v>
      </c>
      <c r="F265" s="153">
        <v>5.6</v>
      </c>
      <c r="G265" s="232">
        <f>708.61*5.6</f>
        <v>3968.2159999999999</v>
      </c>
      <c r="H265" s="232">
        <f>708.61*82</f>
        <v>58106.020000000004</v>
      </c>
      <c r="I265" s="232">
        <f>330.34*5.6</f>
        <v>1849.9039999999998</v>
      </c>
      <c r="J265" s="232">
        <f>330.34*82</f>
        <v>27087.879999999997</v>
      </c>
      <c r="K265" s="232"/>
      <c r="L265" s="232"/>
      <c r="M265" s="232"/>
      <c r="N265" s="232"/>
      <c r="O265" s="232"/>
      <c r="P265" s="220">
        <v>0</v>
      </c>
      <c r="Q265" s="243"/>
      <c r="R265" s="244"/>
      <c r="S265" s="235"/>
    </row>
    <row r="266" spans="1:19" s="2" customFormat="1" ht="41.25" customHeight="1" x14ac:dyDescent="0.25">
      <c r="A266" s="18"/>
      <c r="B266" s="122"/>
      <c r="C266" s="132" t="s">
        <v>41</v>
      </c>
      <c r="D266" s="100" t="s">
        <v>202</v>
      </c>
      <c r="E266" s="144">
        <f>SUM(E264:E265)</f>
        <v>24604.280000000002</v>
      </c>
      <c r="F266" s="144"/>
      <c r="G266" s="87">
        <f>SUM(G264:G265)</f>
        <v>86878.805800000031</v>
      </c>
      <c r="H266" s="87">
        <f>SUM(H264:H265)</f>
        <v>787026.2799999998</v>
      </c>
      <c r="I266" s="87">
        <v>1849.9</v>
      </c>
      <c r="J266" s="87">
        <v>27087.88</v>
      </c>
      <c r="K266" s="87"/>
      <c r="L266" s="87"/>
      <c r="M266" s="87"/>
      <c r="N266" s="87"/>
      <c r="O266" s="87"/>
      <c r="P266" s="221" t="s">
        <v>197</v>
      </c>
      <c r="Q266" s="144"/>
      <c r="R266" s="213"/>
      <c r="S266" s="50"/>
    </row>
    <row r="267" spans="1:19" s="236" customFormat="1" ht="41.25" customHeight="1" x14ac:dyDescent="0.25">
      <c r="A267" s="230"/>
      <c r="B267" s="237"/>
      <c r="C267" s="131" t="s">
        <v>173</v>
      </c>
      <c r="D267" s="99" t="s">
        <v>208</v>
      </c>
      <c r="E267" s="243">
        <v>385.14</v>
      </c>
      <c r="F267" s="243" t="s">
        <v>210</v>
      </c>
      <c r="G267" s="232"/>
      <c r="H267" s="232"/>
      <c r="I267" s="232">
        <f>385.14*5.6</f>
        <v>2156.7839999999997</v>
      </c>
      <c r="J267" s="232">
        <f>385.14*95</f>
        <v>36588.299999999996</v>
      </c>
      <c r="K267" s="232"/>
      <c r="L267" s="232"/>
      <c r="M267" s="232"/>
      <c r="N267" s="232"/>
      <c r="O267" s="232"/>
      <c r="P267" s="233"/>
      <c r="Q267" s="243"/>
      <c r="R267" s="244"/>
      <c r="S267" s="235"/>
    </row>
    <row r="268" spans="1:19" s="2" customFormat="1" ht="41.25" customHeight="1" x14ac:dyDescent="0.25">
      <c r="A268" s="18"/>
      <c r="B268" s="122"/>
      <c r="C268" s="132" t="s">
        <v>41</v>
      </c>
      <c r="D268" s="100" t="s">
        <v>209</v>
      </c>
      <c r="E268" s="144">
        <f>SUM(E266:E267)</f>
        <v>24989.420000000002</v>
      </c>
      <c r="F268" s="144"/>
      <c r="G268" s="87">
        <f>SUM(G266:G267)</f>
        <v>86878.805800000031</v>
      </c>
      <c r="H268" s="87">
        <f>SUM(H266:H267)</f>
        <v>787026.2799999998</v>
      </c>
      <c r="I268" s="87">
        <f>SUM(I266:I267)</f>
        <v>4006.6839999999997</v>
      </c>
      <c r="J268" s="87">
        <f>SUM(J266:J267)</f>
        <v>63676.179999999993</v>
      </c>
      <c r="K268" s="87"/>
      <c r="L268" s="87"/>
      <c r="M268" s="87"/>
      <c r="N268" s="87"/>
      <c r="O268" s="87"/>
      <c r="P268" s="221" t="s">
        <v>197</v>
      </c>
      <c r="Q268" s="144"/>
      <c r="R268" s="213"/>
      <c r="S268" s="50"/>
    </row>
    <row r="269" spans="1:19" s="236" customFormat="1" ht="41.25" customHeight="1" x14ac:dyDescent="0.25">
      <c r="A269" s="230"/>
      <c r="B269" s="237"/>
      <c r="C269" s="131" t="s">
        <v>173</v>
      </c>
      <c r="D269" s="99" t="s">
        <v>215</v>
      </c>
      <c r="E269" s="243">
        <v>437.78</v>
      </c>
      <c r="F269" s="243" t="s">
        <v>210</v>
      </c>
      <c r="G269" s="232">
        <f>580.94*5.6</f>
        <v>3253.2640000000001</v>
      </c>
      <c r="H269" s="232">
        <f>27087.88+250.6*95</f>
        <v>50894.880000000005</v>
      </c>
      <c r="I269" s="232">
        <f>572.32*5.6</f>
        <v>3204.9920000000002</v>
      </c>
      <c r="J269" s="232">
        <f>572.32*95</f>
        <v>54370.400000000001</v>
      </c>
      <c r="K269" s="232"/>
      <c r="L269" s="232"/>
      <c r="M269" s="232"/>
      <c r="N269" s="232"/>
      <c r="O269" s="232"/>
      <c r="P269" s="233"/>
      <c r="Q269" s="243"/>
      <c r="R269" s="244"/>
      <c r="S269" s="235"/>
    </row>
    <row r="270" spans="1:19" s="2" customFormat="1" ht="41.25" customHeight="1" x14ac:dyDescent="0.25">
      <c r="A270" s="18"/>
      <c r="B270" s="122"/>
      <c r="C270" s="132" t="s">
        <v>41</v>
      </c>
      <c r="D270" s="100" t="s">
        <v>216</v>
      </c>
      <c r="E270" s="144">
        <f>SUM(E268:E269)</f>
        <v>25427.200000000001</v>
      </c>
      <c r="F270" s="144"/>
      <c r="G270" s="87">
        <f>SUM(G268:G269)</f>
        <v>90132.069800000027</v>
      </c>
      <c r="H270" s="87">
        <f>SUM(H268:H269)</f>
        <v>837921.1599999998</v>
      </c>
      <c r="I270" s="87">
        <v>3204.99</v>
      </c>
      <c r="J270" s="87">
        <v>54370.400000000001</v>
      </c>
      <c r="K270" s="87"/>
      <c r="L270" s="87"/>
      <c r="M270" s="87"/>
      <c r="N270" s="87"/>
      <c r="O270" s="87"/>
      <c r="P270" s="221" t="s">
        <v>197</v>
      </c>
      <c r="Q270" s="144"/>
      <c r="R270" s="213"/>
      <c r="S270" s="50"/>
    </row>
    <row r="271" spans="1:19" s="2" customFormat="1" ht="41.25" customHeight="1" x14ac:dyDescent="0.25">
      <c r="A271" s="20"/>
      <c r="B271" s="129"/>
      <c r="C271" s="131" t="s">
        <v>173</v>
      </c>
      <c r="D271" s="99" t="s">
        <v>218</v>
      </c>
      <c r="E271" s="147">
        <v>442.46</v>
      </c>
      <c r="F271" s="243" t="s">
        <v>210</v>
      </c>
      <c r="G271" s="94">
        <f>3204.99+53.31-(73.81+74.37)</f>
        <v>3110.12</v>
      </c>
      <c r="H271" s="94">
        <f>54370.4+904.4-(1252.1+1261.6)</f>
        <v>52761.100000000006</v>
      </c>
      <c r="I271" s="94">
        <f>(442.46-9.52)*5.6+73.81+74.37</f>
        <v>2572.6439999999998</v>
      </c>
      <c r="J271" s="94">
        <f>(442.46-9.52)*95+1252.1+1261.6</f>
        <v>43643</v>
      </c>
      <c r="K271" s="94"/>
      <c r="L271" s="94"/>
      <c r="M271" s="94"/>
      <c r="N271" s="94"/>
      <c r="O271" s="94"/>
      <c r="P271" s="220"/>
      <c r="Q271" s="147"/>
      <c r="R271" s="214"/>
      <c r="S271" s="47"/>
    </row>
    <row r="272" spans="1:19" s="2" customFormat="1" ht="41.25" customHeight="1" x14ac:dyDescent="0.25">
      <c r="A272" s="20"/>
      <c r="B272" s="129"/>
      <c r="C272" s="131"/>
      <c r="D272" s="99" t="s">
        <v>220</v>
      </c>
      <c r="E272" s="147">
        <v>6.62</v>
      </c>
      <c r="F272" s="147"/>
      <c r="G272" s="94"/>
      <c r="H272" s="94"/>
      <c r="I272" s="94"/>
      <c r="J272" s="94"/>
      <c r="K272" s="94"/>
      <c r="L272" s="94"/>
      <c r="M272" s="94"/>
      <c r="N272" s="94"/>
      <c r="O272" s="94"/>
      <c r="P272" s="220"/>
      <c r="Q272" s="147"/>
      <c r="R272" s="214"/>
      <c r="S272" s="47"/>
    </row>
    <row r="273" spans="1:19" s="2" customFormat="1" ht="41.25" customHeight="1" x14ac:dyDescent="0.25">
      <c r="A273" s="18"/>
      <c r="B273" s="122"/>
      <c r="C273" s="132" t="s">
        <v>41</v>
      </c>
      <c r="D273" s="100" t="s">
        <v>219</v>
      </c>
      <c r="E273" s="144">
        <f>SUM(E270:E271:E272)</f>
        <v>25876.28</v>
      </c>
      <c r="F273" s="144"/>
      <c r="G273" s="87">
        <f>SUM(G270:G271)</f>
        <v>93242.189800000022</v>
      </c>
      <c r="H273" s="87">
        <f>SUM(H270:H271)</f>
        <v>890682.25999999978</v>
      </c>
      <c r="I273" s="87">
        <v>2572.64</v>
      </c>
      <c r="J273" s="87">
        <v>43643</v>
      </c>
      <c r="K273" s="87"/>
      <c r="L273" s="87"/>
      <c r="M273" s="87"/>
      <c r="N273" s="87"/>
      <c r="O273" s="87"/>
      <c r="P273" s="221" t="s">
        <v>197</v>
      </c>
      <c r="Q273" s="144"/>
      <c r="R273" s="213"/>
      <c r="S273" s="50"/>
    </row>
    <row r="274" spans="1:19" s="236" customFormat="1" ht="41.25" customHeight="1" x14ac:dyDescent="0.25">
      <c r="A274" s="230"/>
      <c r="B274" s="237"/>
      <c r="C274" s="131" t="s">
        <v>173</v>
      </c>
      <c r="D274" s="99" t="s">
        <v>227</v>
      </c>
      <c r="E274" s="243">
        <v>411.1</v>
      </c>
      <c r="F274" s="243" t="s">
        <v>210</v>
      </c>
      <c r="G274" s="232">
        <f>2572.64+281.2*5.6-37.86</f>
        <v>4109.5</v>
      </c>
      <c r="H274" s="232">
        <f>43643+281.2*95-642.2</f>
        <v>69714.8</v>
      </c>
      <c r="I274" s="232">
        <f>129.9*5.6+37.86</f>
        <v>765.3</v>
      </c>
      <c r="J274" s="232">
        <f>129.9*95+642.2</f>
        <v>12982.7</v>
      </c>
      <c r="K274" s="232"/>
      <c r="L274" s="232"/>
      <c r="M274" s="232"/>
      <c r="N274" s="232"/>
      <c r="O274" s="232"/>
      <c r="P274" s="233" t="s">
        <v>236</v>
      </c>
      <c r="Q274" s="243"/>
      <c r="R274" s="244"/>
      <c r="S274" s="235"/>
    </row>
    <row r="275" spans="1:19" s="2" customFormat="1" ht="41.25" customHeight="1" x14ac:dyDescent="0.25">
      <c r="A275" s="18"/>
      <c r="B275" s="122"/>
      <c r="C275" s="132" t="s">
        <v>41</v>
      </c>
      <c r="D275" s="100" t="s">
        <v>228</v>
      </c>
      <c r="E275" s="144">
        <f>SUM(E273:E274)</f>
        <v>26287.379999999997</v>
      </c>
      <c r="F275" s="144"/>
      <c r="G275" s="87">
        <f>SUM(G273:G274)</f>
        <v>97351.689800000022</v>
      </c>
      <c r="H275" s="87">
        <f>SUM(H273:H274)</f>
        <v>960397.05999999982</v>
      </c>
      <c r="I275" s="87">
        <v>765.3</v>
      </c>
      <c r="J275" s="87">
        <v>12982.7</v>
      </c>
      <c r="K275" s="87"/>
      <c r="L275" s="87"/>
      <c r="M275" s="87"/>
      <c r="N275" s="87"/>
      <c r="O275" s="87"/>
      <c r="P275" s="221" t="s">
        <v>235</v>
      </c>
      <c r="Q275" s="144"/>
      <c r="R275" s="213"/>
      <c r="S275" s="50"/>
    </row>
    <row r="276" spans="1:19" x14ac:dyDescent="0.25">
      <c r="A276" s="23"/>
      <c r="B276" s="23"/>
      <c r="C276" s="23"/>
      <c r="D276" s="36"/>
      <c r="E276" s="53"/>
      <c r="F276" s="35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72"/>
      <c r="S276" s="55"/>
    </row>
    <row r="277" spans="1:19" ht="27.75" customHeight="1" x14ac:dyDescent="0.25">
      <c r="A277" s="20"/>
      <c r="B277" s="115" t="s">
        <v>40</v>
      </c>
      <c r="C277" s="131" t="s">
        <v>42</v>
      </c>
      <c r="D277" s="117">
        <v>2011</v>
      </c>
      <c r="E277" s="166">
        <v>1342.2850000000001</v>
      </c>
      <c r="F277" s="142">
        <v>3.18</v>
      </c>
      <c r="G277" s="94">
        <f>E277*F277</f>
        <v>4268.4663</v>
      </c>
      <c r="H277" s="94">
        <v>4026.855</v>
      </c>
      <c r="I277" s="94"/>
      <c r="J277" s="94"/>
      <c r="K277" s="94"/>
      <c r="L277" s="129"/>
      <c r="M277" s="129"/>
      <c r="N277" s="129"/>
      <c r="O277" s="129"/>
      <c r="P277" s="94">
        <v>0</v>
      </c>
      <c r="Q277" s="73"/>
      <c r="R277" s="74"/>
      <c r="S277" s="51"/>
    </row>
    <row r="278" spans="1:19" x14ac:dyDescent="0.25">
      <c r="A278" s="16"/>
      <c r="B278" s="119"/>
      <c r="C278" s="131" t="s">
        <v>42</v>
      </c>
      <c r="D278" s="160">
        <v>2012</v>
      </c>
      <c r="E278" s="161">
        <v>1376.44</v>
      </c>
      <c r="F278" s="141">
        <v>3.18</v>
      </c>
      <c r="G278" s="94">
        <f>E278*F278</f>
        <v>4377.0792000000001</v>
      </c>
      <c r="H278" s="94">
        <v>12387.9</v>
      </c>
      <c r="I278" s="84"/>
      <c r="J278" s="84"/>
      <c r="K278" s="94"/>
      <c r="L278" s="119"/>
      <c r="M278" s="119"/>
      <c r="N278" s="119"/>
      <c r="O278" s="119"/>
      <c r="P278" s="94">
        <v>0</v>
      </c>
      <c r="Q278" s="38"/>
      <c r="R278" s="75"/>
      <c r="S278" s="51"/>
    </row>
    <row r="279" spans="1:19" ht="42.75" customHeight="1" x14ac:dyDescent="0.25">
      <c r="A279" s="18"/>
      <c r="B279" s="122"/>
      <c r="C279" s="132" t="s">
        <v>42</v>
      </c>
      <c r="D279" s="96" t="s">
        <v>25</v>
      </c>
      <c r="E279" s="89">
        <f>SUM(E277:E278)</f>
        <v>2718.7250000000004</v>
      </c>
      <c r="F279" s="89"/>
      <c r="G279" s="87">
        <f t="shared" ref="G279:H279" si="69">SUM(G277:G278)</f>
        <v>8645.5455000000002</v>
      </c>
      <c r="H279" s="87">
        <f t="shared" si="69"/>
        <v>16414.755000000001</v>
      </c>
      <c r="I279" s="87"/>
      <c r="J279" s="87"/>
      <c r="K279" s="87"/>
      <c r="L279" s="122"/>
      <c r="M279" s="122"/>
      <c r="N279" s="122"/>
      <c r="O279" s="122"/>
      <c r="P279" s="87">
        <v>0</v>
      </c>
      <c r="Q279" s="76"/>
      <c r="R279" s="77"/>
      <c r="S279" s="50"/>
    </row>
    <row r="280" spans="1:19" x14ac:dyDescent="0.25">
      <c r="A280" s="16"/>
      <c r="B280" s="119"/>
      <c r="C280" s="131" t="s">
        <v>42</v>
      </c>
      <c r="D280" s="120">
        <v>2013</v>
      </c>
      <c r="E280" s="161">
        <v>1664.8520000000001</v>
      </c>
      <c r="F280" s="141">
        <v>3.18</v>
      </c>
      <c r="G280" s="142">
        <v>5294.23</v>
      </c>
      <c r="H280" s="142">
        <v>24972.78</v>
      </c>
      <c r="I280" s="141"/>
      <c r="J280" s="141"/>
      <c r="K280" s="94"/>
      <c r="L280" s="119"/>
      <c r="M280" s="119"/>
      <c r="N280" s="119"/>
      <c r="O280" s="119"/>
      <c r="P280" s="94">
        <v>0</v>
      </c>
      <c r="Q280" s="38"/>
      <c r="R280" s="75"/>
      <c r="S280" s="51"/>
    </row>
    <row r="281" spans="1:19" ht="42.75" customHeight="1" x14ac:dyDescent="0.25">
      <c r="A281" s="18"/>
      <c r="B281" s="122"/>
      <c r="C281" s="132" t="s">
        <v>42</v>
      </c>
      <c r="D281" s="96" t="s">
        <v>38</v>
      </c>
      <c r="E281" s="89">
        <f>SUM(E279:E280)</f>
        <v>4383.5770000000002</v>
      </c>
      <c r="F281" s="89"/>
      <c r="G281" s="87">
        <f t="shared" ref="G281:H281" si="70">SUM(G279:G280)</f>
        <v>13939.7755</v>
      </c>
      <c r="H281" s="87">
        <f t="shared" si="70"/>
        <v>41387.535000000003</v>
      </c>
      <c r="I281" s="87"/>
      <c r="J281" s="87"/>
      <c r="K281" s="87"/>
      <c r="L281" s="122"/>
      <c r="M281" s="122"/>
      <c r="N281" s="122"/>
      <c r="O281" s="122"/>
      <c r="P281" s="87">
        <v>0</v>
      </c>
      <c r="Q281" s="76"/>
      <c r="R281" s="77"/>
      <c r="S281" s="50"/>
    </row>
    <row r="282" spans="1:19" x14ac:dyDescent="0.25">
      <c r="A282" s="16"/>
      <c r="B282" s="119"/>
      <c r="C282" s="131" t="s">
        <v>42</v>
      </c>
      <c r="D282" s="120">
        <v>2014</v>
      </c>
      <c r="E282" s="161">
        <v>1625.75</v>
      </c>
      <c r="F282" s="141">
        <v>3.18</v>
      </c>
      <c r="G282" s="94">
        <f>E282*F282</f>
        <v>5169.8850000000002</v>
      </c>
      <c r="H282" s="94">
        <v>35766.5</v>
      </c>
      <c r="I282" s="84"/>
      <c r="J282" s="84"/>
      <c r="K282" s="94"/>
      <c r="L282" s="119"/>
      <c r="M282" s="119"/>
      <c r="N282" s="119"/>
      <c r="O282" s="119"/>
      <c r="P282" s="94">
        <v>0</v>
      </c>
      <c r="Q282" s="38"/>
      <c r="R282" s="75"/>
      <c r="S282" s="51"/>
    </row>
    <row r="283" spans="1:19" ht="38.25" customHeight="1" x14ac:dyDescent="0.25">
      <c r="A283" s="18"/>
      <c r="B283" s="122"/>
      <c r="C283" s="132" t="s">
        <v>42</v>
      </c>
      <c r="D283" s="96" t="s">
        <v>24</v>
      </c>
      <c r="E283" s="89">
        <f>SUM(E281:E282)</f>
        <v>6009.3270000000002</v>
      </c>
      <c r="F283" s="89"/>
      <c r="G283" s="87">
        <f t="shared" ref="G283:H283" si="71">SUM(G281:G282)</f>
        <v>19109.660499999998</v>
      </c>
      <c r="H283" s="87">
        <f t="shared" si="71"/>
        <v>77154.035000000003</v>
      </c>
      <c r="I283" s="87"/>
      <c r="J283" s="87"/>
      <c r="K283" s="87"/>
      <c r="L283" s="122"/>
      <c r="M283" s="122"/>
      <c r="N283" s="122"/>
      <c r="O283" s="122"/>
      <c r="P283" s="87">
        <v>0</v>
      </c>
      <c r="Q283" s="76"/>
      <c r="R283" s="77"/>
      <c r="S283" s="50"/>
    </row>
    <row r="284" spans="1:19" x14ac:dyDescent="0.25">
      <c r="A284" s="16"/>
      <c r="B284" s="119"/>
      <c r="C284" s="131" t="s">
        <v>42</v>
      </c>
      <c r="D284" s="120">
        <v>2015</v>
      </c>
      <c r="E284" s="161">
        <v>1598.13</v>
      </c>
      <c r="F284" s="141">
        <v>3.37</v>
      </c>
      <c r="G284" s="94">
        <f>E284*F284</f>
        <v>5385.6981000000005</v>
      </c>
      <c r="H284" s="94">
        <v>44747.64</v>
      </c>
      <c r="I284" s="84"/>
      <c r="J284" s="84"/>
      <c r="K284" s="94"/>
      <c r="L284" s="119"/>
      <c r="M284" s="119"/>
      <c r="N284" s="119"/>
      <c r="O284" s="119"/>
      <c r="P284" s="94">
        <v>0</v>
      </c>
      <c r="Q284" s="38"/>
      <c r="R284" s="75"/>
      <c r="S284" s="51"/>
    </row>
    <row r="285" spans="1:19" ht="42" customHeight="1" x14ac:dyDescent="0.25">
      <c r="A285" s="18"/>
      <c r="B285" s="122"/>
      <c r="C285" s="132" t="s">
        <v>42</v>
      </c>
      <c r="D285" s="96" t="s">
        <v>26</v>
      </c>
      <c r="E285" s="89">
        <f>SUM(E283:E284)</f>
        <v>7607.4570000000003</v>
      </c>
      <c r="F285" s="89"/>
      <c r="G285" s="87">
        <f t="shared" ref="G285:H285" si="72">SUM(G283:G284)</f>
        <v>24495.3586</v>
      </c>
      <c r="H285" s="87">
        <f t="shared" si="72"/>
        <v>121901.675</v>
      </c>
      <c r="I285" s="87"/>
      <c r="J285" s="87"/>
      <c r="K285" s="87"/>
      <c r="L285" s="122"/>
      <c r="M285" s="122"/>
      <c r="N285" s="122"/>
      <c r="O285" s="122"/>
      <c r="P285" s="87">
        <v>0</v>
      </c>
      <c r="Q285" s="76"/>
      <c r="R285" s="77"/>
      <c r="S285" s="50"/>
    </row>
    <row r="286" spans="1:19" x14ac:dyDescent="0.25">
      <c r="A286" s="16"/>
      <c r="B286" s="119"/>
      <c r="C286" s="131" t="s">
        <v>42</v>
      </c>
      <c r="D286" s="99" t="s">
        <v>29</v>
      </c>
      <c r="E286" s="137">
        <v>383.74</v>
      </c>
      <c r="F286" s="141">
        <v>3.37</v>
      </c>
      <c r="G286" s="94">
        <f>E286*F286</f>
        <v>1293.2038</v>
      </c>
      <c r="H286" s="94">
        <v>13814.64</v>
      </c>
      <c r="I286" s="84"/>
      <c r="J286" s="84"/>
      <c r="K286" s="94"/>
      <c r="L286" s="119"/>
      <c r="M286" s="119"/>
      <c r="N286" s="119"/>
      <c r="O286" s="119"/>
      <c r="P286" s="94">
        <v>0</v>
      </c>
      <c r="Q286" s="38"/>
      <c r="R286" s="75"/>
      <c r="S286" s="51"/>
    </row>
    <row r="287" spans="1:19" ht="40.5" customHeight="1" x14ac:dyDescent="0.25">
      <c r="A287" s="18"/>
      <c r="B287" s="122"/>
      <c r="C287" s="132" t="s">
        <v>42</v>
      </c>
      <c r="D287" s="100" t="s">
        <v>30</v>
      </c>
      <c r="E287" s="89">
        <f>SUM(E285:E286)</f>
        <v>7991.1970000000001</v>
      </c>
      <c r="F287" s="89"/>
      <c r="G287" s="87">
        <f t="shared" ref="G287:H287" si="73">SUM(G285:G286)</f>
        <v>25788.562399999999</v>
      </c>
      <c r="H287" s="87">
        <f t="shared" si="73"/>
        <v>135716.315</v>
      </c>
      <c r="I287" s="87"/>
      <c r="J287" s="87"/>
      <c r="K287" s="87"/>
      <c r="L287" s="122"/>
      <c r="M287" s="122"/>
      <c r="N287" s="122"/>
      <c r="O287" s="122"/>
      <c r="P287" s="87">
        <v>0</v>
      </c>
      <c r="Q287" s="76"/>
      <c r="R287" s="77"/>
      <c r="S287" s="50"/>
    </row>
    <row r="288" spans="1:19" x14ac:dyDescent="0.25">
      <c r="A288" s="16"/>
      <c r="B288" s="119"/>
      <c r="C288" s="131" t="s">
        <v>42</v>
      </c>
      <c r="D288" s="99"/>
      <c r="E288" s="137">
        <v>534.94000000000005</v>
      </c>
      <c r="F288" s="141">
        <v>3.37</v>
      </c>
      <c r="G288" s="94">
        <f>E288*F288</f>
        <v>1802.7478000000003</v>
      </c>
      <c r="H288" s="94">
        <v>19257.84</v>
      </c>
      <c r="I288" s="84"/>
      <c r="J288" s="84"/>
      <c r="K288" s="94"/>
      <c r="L288" s="119"/>
      <c r="M288" s="119"/>
      <c r="N288" s="119"/>
      <c r="O288" s="119"/>
      <c r="P288" s="94">
        <v>0</v>
      </c>
      <c r="Q288" s="38"/>
      <c r="R288" s="75"/>
      <c r="S288" s="51"/>
    </row>
    <row r="289" spans="1:16384" ht="44.25" customHeight="1" x14ac:dyDescent="0.25">
      <c r="A289" s="16"/>
      <c r="B289" s="119"/>
      <c r="C289" s="101" t="s">
        <v>45</v>
      </c>
      <c r="D289" s="99"/>
      <c r="E289" s="137">
        <v>21.26</v>
      </c>
      <c r="F289" s="84">
        <v>0</v>
      </c>
      <c r="G289" s="94">
        <v>0</v>
      </c>
      <c r="H289" s="94">
        <v>0</v>
      </c>
      <c r="I289" s="84"/>
      <c r="J289" s="84"/>
      <c r="K289" s="84"/>
      <c r="L289" s="119"/>
      <c r="M289" s="119"/>
      <c r="N289" s="119"/>
      <c r="O289" s="119"/>
      <c r="P289" s="94"/>
      <c r="Q289" s="38"/>
      <c r="R289" s="75"/>
      <c r="S289" s="51"/>
    </row>
    <row r="290" spans="1:16384" ht="41.25" customHeight="1" x14ac:dyDescent="0.25">
      <c r="A290" s="18"/>
      <c r="B290" s="122"/>
      <c r="C290" s="132" t="s">
        <v>42</v>
      </c>
      <c r="D290" s="100" t="s">
        <v>32</v>
      </c>
      <c r="E290" s="89">
        <f>SUM(E287:E289)</f>
        <v>8547.3970000000008</v>
      </c>
      <c r="F290" s="89"/>
      <c r="G290" s="87">
        <f t="shared" ref="G290:H290" si="74">SUM(G287:G289)</f>
        <v>27591.3102</v>
      </c>
      <c r="H290" s="87">
        <f t="shared" si="74"/>
        <v>154974.155</v>
      </c>
      <c r="I290" s="87"/>
      <c r="J290" s="87"/>
      <c r="K290" s="87"/>
      <c r="L290" s="122"/>
      <c r="M290" s="122"/>
      <c r="N290" s="122"/>
      <c r="O290" s="122"/>
      <c r="P290" s="87">
        <v>0</v>
      </c>
      <c r="Q290" s="76"/>
      <c r="R290" s="77"/>
      <c r="S290" s="50"/>
    </row>
    <row r="291" spans="1:16384" x14ac:dyDescent="0.25">
      <c r="A291" s="16"/>
      <c r="B291" s="119"/>
      <c r="C291" s="131" t="s">
        <v>42</v>
      </c>
      <c r="D291" s="99" t="s">
        <v>33</v>
      </c>
      <c r="E291" s="137">
        <v>505.66</v>
      </c>
      <c r="F291" s="141">
        <v>3.37</v>
      </c>
      <c r="G291" s="94">
        <f>E291*F291</f>
        <v>1704.0742000000002</v>
      </c>
      <c r="H291" s="94">
        <v>18203.759999999998</v>
      </c>
      <c r="I291" s="84"/>
      <c r="J291" s="84"/>
      <c r="K291" s="94"/>
      <c r="L291" s="119"/>
      <c r="M291" s="119"/>
      <c r="N291" s="119"/>
      <c r="O291" s="119"/>
      <c r="P291" s="94">
        <v>4680</v>
      </c>
      <c r="Q291" s="38"/>
      <c r="R291" s="75"/>
      <c r="S291" s="51"/>
    </row>
    <row r="292" spans="1:16384" ht="42.75" customHeight="1" x14ac:dyDescent="0.25">
      <c r="A292" s="18"/>
      <c r="B292" s="122"/>
      <c r="C292" s="132" t="s">
        <v>42</v>
      </c>
      <c r="D292" s="100" t="s">
        <v>35</v>
      </c>
      <c r="E292" s="89">
        <f>SUM(E290:E291)</f>
        <v>9053.0570000000007</v>
      </c>
      <c r="F292" s="89"/>
      <c r="G292" s="87">
        <f t="shared" ref="G292:H292" si="75">SUM(G290:G291)</f>
        <v>29295.384399999999</v>
      </c>
      <c r="H292" s="87">
        <f t="shared" si="75"/>
        <v>173177.91500000001</v>
      </c>
      <c r="I292" s="87"/>
      <c r="J292" s="87"/>
      <c r="K292" s="87"/>
      <c r="L292" s="122"/>
      <c r="M292" s="122"/>
      <c r="N292" s="122"/>
      <c r="O292" s="122"/>
      <c r="P292" s="87">
        <v>4680</v>
      </c>
      <c r="Q292" s="76"/>
      <c r="R292" s="77"/>
      <c r="S292" s="50"/>
    </row>
    <row r="293" spans="1:16384" x14ac:dyDescent="0.25">
      <c r="A293" s="16"/>
      <c r="B293" s="119"/>
      <c r="C293" s="131" t="s">
        <v>42</v>
      </c>
      <c r="D293" s="99" t="s">
        <v>34</v>
      </c>
      <c r="E293" s="137">
        <v>444.6</v>
      </c>
      <c r="F293" s="141">
        <v>3.37</v>
      </c>
      <c r="G293" s="94">
        <f>E293*F293</f>
        <v>1498.3020000000001</v>
      </c>
      <c r="H293" s="94">
        <v>16005.6</v>
      </c>
      <c r="I293" s="84"/>
      <c r="J293" s="84"/>
      <c r="K293" s="94"/>
      <c r="L293" s="119"/>
      <c r="M293" s="119"/>
      <c r="N293" s="119"/>
      <c r="O293" s="119"/>
      <c r="P293" s="94">
        <v>0</v>
      </c>
      <c r="Q293" s="38"/>
      <c r="R293" s="75"/>
      <c r="S293" s="51"/>
    </row>
    <row r="294" spans="1:16384" ht="45" customHeight="1" x14ac:dyDescent="0.25">
      <c r="A294" s="18"/>
      <c r="B294" s="122"/>
      <c r="C294" s="132" t="s">
        <v>42</v>
      </c>
      <c r="D294" s="100" t="s">
        <v>36</v>
      </c>
      <c r="E294" s="89">
        <f>SUM(E292:E293)</f>
        <v>9497.6570000000011</v>
      </c>
      <c r="F294" s="89"/>
      <c r="G294" s="87">
        <f t="shared" ref="G294:H294" si="76">SUM(G292:G293)</f>
        <v>30793.686399999999</v>
      </c>
      <c r="H294" s="87">
        <f t="shared" si="76"/>
        <v>189183.51500000001</v>
      </c>
      <c r="I294" s="87"/>
      <c r="J294" s="87"/>
      <c r="K294" s="87"/>
      <c r="L294" s="122"/>
      <c r="M294" s="122"/>
      <c r="N294" s="122"/>
      <c r="O294" s="122"/>
      <c r="P294" s="87">
        <v>4680</v>
      </c>
      <c r="Q294" s="76"/>
      <c r="R294" s="77"/>
      <c r="S294" s="50"/>
      <c r="V294" s="2"/>
    </row>
    <row r="295" spans="1:16384" s="2" customFormat="1" x14ac:dyDescent="0.25">
      <c r="A295" s="20"/>
      <c r="B295" s="129"/>
      <c r="C295" s="131" t="s">
        <v>42</v>
      </c>
      <c r="D295" s="99" t="s">
        <v>57</v>
      </c>
      <c r="E295" s="93">
        <v>376.24</v>
      </c>
      <c r="F295" s="94">
        <v>3.37</v>
      </c>
      <c r="G295" s="94">
        <f>E295*F295</f>
        <v>1267.9288000000001</v>
      </c>
      <c r="H295" s="94">
        <v>15049.6</v>
      </c>
      <c r="I295" s="94"/>
      <c r="J295" s="94"/>
      <c r="K295" s="94"/>
      <c r="L295" s="129"/>
      <c r="M295" s="129"/>
      <c r="N295" s="129"/>
      <c r="O295" s="129"/>
      <c r="P295" s="94">
        <v>0</v>
      </c>
      <c r="Q295" s="73"/>
      <c r="R295" s="74"/>
      <c r="S295" s="47"/>
    </row>
    <row r="296" spans="1:16384" s="2" customFormat="1" ht="42" customHeight="1" x14ac:dyDescent="0.25">
      <c r="A296" s="18"/>
      <c r="B296" s="122"/>
      <c r="C296" s="132" t="s">
        <v>42</v>
      </c>
      <c r="D296" s="100" t="s">
        <v>58</v>
      </c>
      <c r="E296" s="89">
        <f>SUM(E294:E295)</f>
        <v>9873.8970000000008</v>
      </c>
      <c r="F296" s="89"/>
      <c r="G296" s="87">
        <f t="shared" ref="G296:H296" si="77">SUM(G294:G295)</f>
        <v>32061.6152</v>
      </c>
      <c r="H296" s="87">
        <f t="shared" si="77"/>
        <v>204233.11500000002</v>
      </c>
      <c r="I296" s="87"/>
      <c r="J296" s="87"/>
      <c r="K296" s="87"/>
      <c r="L296" s="122"/>
      <c r="M296" s="122"/>
      <c r="N296" s="122"/>
      <c r="O296" s="122"/>
      <c r="P296" s="87">
        <v>4680</v>
      </c>
      <c r="Q296" s="76"/>
      <c r="R296" s="77"/>
      <c r="S296" s="50"/>
    </row>
    <row r="297" spans="1:16384" s="2" customFormat="1" x14ac:dyDescent="0.25">
      <c r="A297" s="20"/>
      <c r="B297" s="129"/>
      <c r="C297" s="131" t="s">
        <v>42</v>
      </c>
      <c r="D297" s="99" t="s">
        <v>61</v>
      </c>
      <c r="E297" s="93">
        <v>491.04</v>
      </c>
      <c r="F297" s="94">
        <v>3.37</v>
      </c>
      <c r="G297" s="94">
        <f>E297*F297</f>
        <v>1654.8048000000001</v>
      </c>
      <c r="H297" s="94">
        <v>19641.599999999999</v>
      </c>
      <c r="I297" s="94"/>
      <c r="J297" s="94"/>
      <c r="K297" s="94"/>
      <c r="L297" s="129"/>
      <c r="M297" s="129"/>
      <c r="N297" s="129"/>
      <c r="O297" s="129"/>
      <c r="P297" s="94">
        <v>28300.07</v>
      </c>
      <c r="Q297" s="73"/>
      <c r="R297" s="74"/>
      <c r="S297" s="47"/>
    </row>
    <row r="298" spans="1:16384" s="2" customFormat="1" ht="43.5" customHeight="1" x14ac:dyDescent="0.25">
      <c r="A298" s="18"/>
      <c r="B298" s="122"/>
      <c r="C298" s="132" t="s">
        <v>42</v>
      </c>
      <c r="D298" s="100" t="s">
        <v>63</v>
      </c>
      <c r="E298" s="89">
        <f>SUM(E296:E297)</f>
        <v>10364.937000000002</v>
      </c>
      <c r="F298" s="89"/>
      <c r="G298" s="87">
        <f t="shared" ref="G298:H298" si="78">SUM(G296:G297)</f>
        <v>33716.42</v>
      </c>
      <c r="H298" s="87">
        <f t="shared" si="78"/>
        <v>223874.71500000003</v>
      </c>
      <c r="I298" s="87"/>
      <c r="J298" s="87"/>
      <c r="K298" s="87"/>
      <c r="L298" s="122"/>
      <c r="M298" s="122"/>
      <c r="N298" s="122"/>
      <c r="O298" s="122"/>
      <c r="P298" s="87">
        <f>SUM(P296:P297)</f>
        <v>32980.07</v>
      </c>
      <c r="Q298" s="76"/>
      <c r="R298" s="77"/>
      <c r="S298" s="50"/>
    </row>
    <row r="299" spans="1:16384" s="2" customFormat="1" ht="17.25" customHeight="1" x14ac:dyDescent="0.25">
      <c r="A299" s="194"/>
      <c r="B299" s="195"/>
      <c r="C299" s="131" t="s">
        <v>42</v>
      </c>
      <c r="D299" s="196" t="s">
        <v>64</v>
      </c>
      <c r="E299" s="147">
        <v>509.14</v>
      </c>
      <c r="F299" s="148">
        <v>3.37</v>
      </c>
      <c r="G299" s="148">
        <f>E299*F299</f>
        <v>1715.8018</v>
      </c>
      <c r="H299" s="148">
        <v>20365.599999999999</v>
      </c>
      <c r="I299" s="148"/>
      <c r="J299" s="148"/>
      <c r="K299" s="148"/>
      <c r="L299" s="195"/>
      <c r="M299" s="195"/>
      <c r="N299" s="195"/>
      <c r="O299" s="195"/>
      <c r="P299" s="148">
        <v>0</v>
      </c>
      <c r="Q299" s="197"/>
      <c r="R299" s="198"/>
      <c r="S299" s="199"/>
    </row>
    <row r="300" spans="1:16384" s="209" customFormat="1" ht="42.75" customHeight="1" x14ac:dyDescent="0.25">
      <c r="A300" s="162"/>
      <c r="B300" s="162"/>
      <c r="C300" s="178" t="s">
        <v>45</v>
      </c>
      <c r="D300" s="162"/>
      <c r="E300" s="162">
        <v>9.24</v>
      </c>
      <c r="F300" s="94">
        <v>0</v>
      </c>
      <c r="G300" s="94">
        <v>0</v>
      </c>
      <c r="H300" s="94">
        <v>0</v>
      </c>
      <c r="I300" s="94"/>
      <c r="J300" s="94"/>
      <c r="K300" s="94"/>
      <c r="L300" s="162"/>
      <c r="M300" s="162"/>
      <c r="N300" s="162"/>
      <c r="O300" s="162"/>
      <c r="P300" s="162"/>
      <c r="Q300" s="162"/>
      <c r="R300" s="162"/>
      <c r="S300" s="162"/>
      <c r="T300" s="208"/>
      <c r="U300" s="208"/>
      <c r="V300" s="208"/>
      <c r="W300" s="208"/>
      <c r="X300" s="208"/>
      <c r="Y300" s="208"/>
      <c r="Z300" s="208"/>
      <c r="AA300" s="208"/>
      <c r="AB300" s="208"/>
      <c r="AC300" s="208"/>
      <c r="AD300" s="208"/>
      <c r="AE300" s="208"/>
      <c r="AF300" s="208"/>
      <c r="AG300" s="208"/>
      <c r="AH300" s="208"/>
      <c r="AI300" s="208"/>
      <c r="AJ300" s="208"/>
      <c r="AK300" s="208"/>
      <c r="AL300" s="208"/>
      <c r="AM300" s="208"/>
      <c r="AN300" s="208"/>
      <c r="AO300" s="208"/>
      <c r="AP300" s="208"/>
      <c r="AQ300" s="208"/>
      <c r="AR300" s="208"/>
      <c r="AS300" s="208"/>
      <c r="AT300" s="208"/>
      <c r="AU300" s="208"/>
      <c r="AV300" s="208"/>
      <c r="AW300" s="208"/>
      <c r="AX300" s="208"/>
      <c r="AY300" s="208"/>
      <c r="AZ300" s="208"/>
      <c r="BA300" s="208"/>
      <c r="BB300" s="208"/>
      <c r="BC300" s="208"/>
      <c r="BD300" s="208"/>
      <c r="BE300" s="208"/>
      <c r="BF300" s="208"/>
      <c r="BG300" s="208"/>
      <c r="BH300" s="208"/>
      <c r="BI300" s="208"/>
      <c r="BJ300" s="208"/>
      <c r="BK300" s="208"/>
      <c r="BL300" s="208"/>
      <c r="BM300" s="208"/>
      <c r="BN300" s="208"/>
      <c r="BO300" s="208"/>
      <c r="BP300" s="208"/>
      <c r="BQ300" s="208"/>
      <c r="BR300" s="208"/>
      <c r="BS300" s="208"/>
      <c r="BT300" s="208"/>
      <c r="BU300" s="208"/>
      <c r="BV300" s="208"/>
      <c r="BW300" s="208"/>
      <c r="BX300" s="208"/>
      <c r="BY300" s="208"/>
      <c r="BZ300" s="208"/>
      <c r="CA300" s="208"/>
      <c r="CB300" s="208"/>
      <c r="CC300" s="208"/>
      <c r="CD300" s="208"/>
      <c r="CE300" s="208"/>
      <c r="CF300" s="208"/>
      <c r="CG300" s="208"/>
      <c r="CH300" s="208"/>
      <c r="CI300" s="208"/>
      <c r="CJ300" s="208"/>
      <c r="CK300" s="208"/>
      <c r="CL300" s="208"/>
      <c r="CM300" s="208"/>
      <c r="CN300" s="208"/>
      <c r="CO300" s="208"/>
      <c r="CP300" s="208"/>
      <c r="CQ300" s="208"/>
      <c r="CR300" s="208"/>
      <c r="CS300" s="208"/>
      <c r="CT300" s="208"/>
      <c r="CU300" s="208"/>
      <c r="CV300" s="208"/>
      <c r="CW300" s="208"/>
      <c r="CX300" s="208"/>
      <c r="CY300" s="208"/>
      <c r="CZ300" s="208"/>
      <c r="DA300" s="208"/>
      <c r="DB300" s="208"/>
      <c r="DC300" s="208"/>
      <c r="DD300" s="208"/>
      <c r="DE300" s="208"/>
      <c r="DF300" s="208"/>
      <c r="DG300" s="208"/>
      <c r="DH300" s="208"/>
      <c r="DI300" s="208"/>
      <c r="DJ300" s="208"/>
      <c r="DK300" s="208"/>
      <c r="DL300" s="208"/>
      <c r="DM300" s="208"/>
      <c r="DN300" s="208"/>
      <c r="DO300" s="208"/>
      <c r="DP300" s="208"/>
      <c r="DQ300" s="208"/>
      <c r="DR300" s="208"/>
      <c r="DS300" s="208"/>
      <c r="DT300" s="208"/>
      <c r="DU300" s="208"/>
      <c r="DV300" s="208"/>
      <c r="DW300" s="208"/>
      <c r="DX300" s="208"/>
      <c r="DY300" s="208"/>
      <c r="DZ300" s="208"/>
      <c r="EA300" s="208"/>
      <c r="EB300" s="208"/>
      <c r="EC300" s="208"/>
      <c r="ED300" s="208"/>
      <c r="EE300" s="208"/>
      <c r="EF300" s="208"/>
      <c r="EG300" s="208"/>
      <c r="EH300" s="208"/>
      <c r="EI300" s="208"/>
      <c r="EJ300" s="208"/>
      <c r="EK300" s="208"/>
      <c r="EL300" s="208"/>
      <c r="EM300" s="208"/>
      <c r="EN300" s="208"/>
      <c r="EO300" s="208"/>
      <c r="EP300" s="208"/>
      <c r="EQ300" s="208"/>
      <c r="ER300" s="208"/>
      <c r="ES300" s="208"/>
      <c r="ET300" s="208"/>
      <c r="EU300" s="208"/>
      <c r="EV300" s="208"/>
      <c r="EW300" s="208"/>
      <c r="EX300" s="208"/>
      <c r="EY300" s="208"/>
      <c r="EZ300" s="208"/>
      <c r="FA300" s="208"/>
      <c r="FB300" s="208"/>
      <c r="FC300" s="208"/>
      <c r="FD300" s="208"/>
      <c r="FE300" s="208"/>
      <c r="FF300" s="208"/>
      <c r="FG300" s="208"/>
      <c r="FH300" s="208"/>
      <c r="FI300" s="208"/>
      <c r="FJ300" s="208"/>
      <c r="FK300" s="208"/>
      <c r="FL300" s="208"/>
      <c r="FM300" s="208"/>
      <c r="FN300" s="208"/>
      <c r="FO300" s="208"/>
      <c r="FP300" s="208"/>
      <c r="FQ300" s="208"/>
      <c r="FR300" s="208"/>
      <c r="FS300" s="208"/>
      <c r="FT300" s="208"/>
      <c r="FU300" s="208"/>
      <c r="FV300" s="208"/>
      <c r="FW300" s="208"/>
      <c r="FX300" s="208"/>
      <c r="FY300" s="208"/>
      <c r="FZ300" s="208"/>
      <c r="GA300" s="208"/>
      <c r="GB300" s="208"/>
      <c r="GC300" s="208"/>
      <c r="GD300" s="208"/>
      <c r="GE300" s="208"/>
      <c r="GF300" s="208"/>
      <c r="GG300" s="208"/>
      <c r="GH300" s="208"/>
      <c r="GI300" s="208"/>
      <c r="GJ300" s="208"/>
      <c r="GK300" s="208"/>
      <c r="GL300" s="208"/>
      <c r="GM300" s="208"/>
      <c r="GN300" s="208"/>
      <c r="GO300" s="208"/>
      <c r="GP300" s="208"/>
      <c r="GQ300" s="208"/>
      <c r="GR300" s="208"/>
      <c r="GS300" s="208"/>
      <c r="GT300" s="208"/>
      <c r="GU300" s="208"/>
      <c r="GV300" s="208"/>
      <c r="GW300" s="208"/>
      <c r="GX300" s="208"/>
      <c r="GY300" s="208"/>
      <c r="GZ300" s="208"/>
      <c r="HA300" s="208"/>
      <c r="HB300" s="208"/>
      <c r="HC300" s="208"/>
      <c r="HD300" s="208"/>
      <c r="HE300" s="208"/>
      <c r="HF300" s="208"/>
      <c r="HG300" s="208"/>
      <c r="HH300" s="208"/>
      <c r="HI300" s="208"/>
      <c r="HJ300" s="208"/>
      <c r="HK300" s="208"/>
      <c r="HL300" s="208"/>
      <c r="HM300" s="208"/>
      <c r="HN300" s="208"/>
      <c r="HO300" s="208"/>
      <c r="HP300" s="208"/>
      <c r="HQ300" s="208"/>
      <c r="HR300" s="208"/>
      <c r="HS300" s="208"/>
      <c r="HT300" s="208"/>
      <c r="HU300" s="208"/>
      <c r="HV300" s="208"/>
      <c r="HW300" s="208"/>
      <c r="HX300" s="208"/>
      <c r="HY300" s="208"/>
      <c r="HZ300" s="208"/>
      <c r="IA300" s="208"/>
      <c r="IB300" s="208"/>
      <c r="IC300" s="208"/>
      <c r="ID300" s="208"/>
      <c r="IE300" s="208"/>
      <c r="IF300" s="208"/>
      <c r="IG300" s="208"/>
      <c r="IH300" s="208"/>
      <c r="II300" s="208"/>
      <c r="IJ300" s="208"/>
      <c r="IK300" s="208"/>
      <c r="IL300" s="208"/>
      <c r="IM300" s="208"/>
      <c r="IN300" s="208"/>
      <c r="IO300" s="208"/>
      <c r="IP300" s="208"/>
      <c r="IQ300" s="208"/>
      <c r="IR300" s="208"/>
      <c r="IS300" s="208"/>
      <c r="IT300" s="208"/>
      <c r="IU300" s="208"/>
      <c r="IV300" s="208"/>
      <c r="IW300" s="208"/>
      <c r="IX300" s="208"/>
      <c r="IY300" s="208"/>
      <c r="IZ300" s="208"/>
      <c r="JA300" s="208"/>
      <c r="JB300" s="208"/>
      <c r="JC300" s="208"/>
      <c r="JD300" s="208"/>
      <c r="JE300" s="208"/>
      <c r="JF300" s="208"/>
      <c r="JG300" s="208"/>
      <c r="JH300" s="208"/>
      <c r="JI300" s="208"/>
      <c r="JJ300" s="208"/>
      <c r="JK300" s="208"/>
      <c r="JL300" s="208"/>
      <c r="JM300" s="208"/>
      <c r="JN300" s="208"/>
      <c r="JO300" s="208"/>
      <c r="JP300" s="208"/>
      <c r="JQ300" s="208"/>
      <c r="JR300" s="208"/>
      <c r="JS300" s="208"/>
      <c r="JT300" s="208"/>
      <c r="JU300" s="208"/>
      <c r="JV300" s="208"/>
      <c r="JW300" s="208"/>
      <c r="JX300" s="208"/>
      <c r="JY300" s="208"/>
      <c r="JZ300" s="208"/>
      <c r="KA300" s="208"/>
      <c r="KB300" s="208"/>
      <c r="KC300" s="208"/>
      <c r="KD300" s="208"/>
      <c r="KE300" s="208"/>
      <c r="KF300" s="208"/>
      <c r="KG300" s="208"/>
      <c r="KH300" s="208"/>
      <c r="KI300" s="208"/>
      <c r="KJ300" s="208"/>
      <c r="KK300" s="208"/>
      <c r="KL300" s="208"/>
      <c r="KM300" s="208"/>
      <c r="KN300" s="208"/>
      <c r="KO300" s="208"/>
      <c r="KP300" s="208"/>
      <c r="KQ300" s="208"/>
      <c r="KR300" s="208"/>
      <c r="KS300" s="208"/>
      <c r="KT300" s="208"/>
      <c r="KU300" s="208"/>
      <c r="KV300" s="208"/>
      <c r="KW300" s="208"/>
      <c r="KX300" s="208"/>
      <c r="KY300" s="208"/>
      <c r="KZ300" s="208"/>
      <c r="LA300" s="208"/>
      <c r="LB300" s="208"/>
      <c r="LC300" s="208"/>
      <c r="LD300" s="208"/>
      <c r="LE300" s="208"/>
      <c r="LF300" s="208"/>
      <c r="LG300" s="208"/>
      <c r="LH300" s="208"/>
      <c r="LI300" s="208"/>
      <c r="LJ300" s="208"/>
      <c r="LK300" s="208"/>
      <c r="LL300" s="208"/>
      <c r="LM300" s="208"/>
      <c r="LN300" s="208"/>
      <c r="LO300" s="208"/>
      <c r="LP300" s="208"/>
      <c r="LQ300" s="208"/>
      <c r="LR300" s="208"/>
      <c r="LS300" s="208"/>
      <c r="LT300" s="208"/>
      <c r="LU300" s="208"/>
      <c r="LV300" s="208"/>
      <c r="LW300" s="208"/>
      <c r="LX300" s="208"/>
      <c r="LY300" s="208"/>
      <c r="LZ300" s="208"/>
      <c r="MA300" s="208"/>
      <c r="MB300" s="208"/>
      <c r="MC300" s="208"/>
      <c r="MD300" s="208"/>
      <c r="ME300" s="208"/>
      <c r="MF300" s="208"/>
      <c r="MG300" s="208"/>
      <c r="MH300" s="208"/>
      <c r="MI300" s="208"/>
      <c r="MJ300" s="208"/>
      <c r="MK300" s="208"/>
      <c r="ML300" s="208"/>
      <c r="MM300" s="208"/>
      <c r="MN300" s="208"/>
      <c r="MO300" s="208"/>
      <c r="MP300" s="208"/>
      <c r="MQ300" s="208"/>
      <c r="MR300" s="208"/>
      <c r="MS300" s="208"/>
      <c r="MT300" s="208"/>
      <c r="MU300" s="208"/>
      <c r="MV300" s="208"/>
      <c r="MW300" s="208"/>
      <c r="MX300" s="208"/>
      <c r="MY300" s="208"/>
      <c r="MZ300" s="208"/>
      <c r="NA300" s="208"/>
      <c r="NB300" s="208"/>
      <c r="NC300" s="208"/>
      <c r="ND300" s="208"/>
      <c r="NE300" s="208"/>
      <c r="NF300" s="208"/>
      <c r="NG300" s="208"/>
      <c r="NH300" s="208"/>
      <c r="NI300" s="208"/>
      <c r="NJ300" s="208"/>
      <c r="NK300" s="208"/>
      <c r="NL300" s="208"/>
      <c r="NM300" s="208"/>
      <c r="NN300" s="208"/>
      <c r="NO300" s="208"/>
      <c r="NP300" s="208"/>
      <c r="NQ300" s="208"/>
      <c r="NR300" s="208"/>
      <c r="NS300" s="208"/>
      <c r="NT300" s="208"/>
      <c r="NU300" s="208"/>
      <c r="NV300" s="208"/>
      <c r="NW300" s="208"/>
      <c r="NX300" s="208"/>
      <c r="NY300" s="208"/>
      <c r="NZ300" s="208"/>
      <c r="OA300" s="208"/>
      <c r="OB300" s="208"/>
      <c r="OC300" s="208"/>
      <c r="OD300" s="208"/>
      <c r="OE300" s="208"/>
      <c r="OF300" s="208"/>
      <c r="OG300" s="208"/>
      <c r="OH300" s="208"/>
      <c r="OI300" s="208"/>
      <c r="OJ300" s="208"/>
      <c r="OK300" s="208"/>
      <c r="OL300" s="208"/>
      <c r="OM300" s="208"/>
      <c r="ON300" s="208"/>
      <c r="OO300" s="208"/>
      <c r="OP300" s="208"/>
      <c r="OQ300" s="208"/>
      <c r="OR300" s="208"/>
      <c r="OS300" s="208"/>
      <c r="OT300" s="208"/>
      <c r="OU300" s="208"/>
      <c r="OV300" s="208"/>
      <c r="OW300" s="208"/>
      <c r="OX300" s="208"/>
      <c r="OY300" s="208"/>
      <c r="OZ300" s="208"/>
      <c r="PA300" s="208"/>
      <c r="PB300" s="208"/>
      <c r="PC300" s="208"/>
      <c r="PD300" s="208"/>
      <c r="PE300" s="208"/>
      <c r="PF300" s="208"/>
      <c r="PG300" s="208"/>
      <c r="PH300" s="208"/>
      <c r="PI300" s="208"/>
      <c r="PJ300" s="208"/>
      <c r="PK300" s="208"/>
      <c r="PL300" s="208"/>
      <c r="PM300" s="208"/>
      <c r="PN300" s="208"/>
      <c r="PO300" s="208"/>
      <c r="PP300" s="208"/>
      <c r="PQ300" s="208"/>
      <c r="PR300" s="208"/>
      <c r="PS300" s="208"/>
      <c r="PT300" s="208"/>
      <c r="PU300" s="208"/>
      <c r="PV300" s="208"/>
      <c r="PW300" s="208"/>
      <c r="PX300" s="208"/>
      <c r="PY300" s="208"/>
      <c r="PZ300" s="208"/>
      <c r="QA300" s="208"/>
      <c r="QB300" s="208"/>
      <c r="QC300" s="208"/>
      <c r="QD300" s="208"/>
      <c r="QE300" s="208"/>
      <c r="QF300" s="208"/>
      <c r="QG300" s="208"/>
      <c r="QH300" s="208"/>
      <c r="QI300" s="208"/>
      <c r="QJ300" s="208"/>
      <c r="QK300" s="208"/>
      <c r="QL300" s="208"/>
      <c r="QM300" s="208"/>
      <c r="QN300" s="208"/>
      <c r="QO300" s="208"/>
      <c r="QP300" s="208"/>
      <c r="QQ300" s="208"/>
      <c r="QR300" s="208"/>
      <c r="QS300" s="208"/>
      <c r="QT300" s="208"/>
      <c r="QU300" s="208"/>
      <c r="QV300" s="208"/>
      <c r="QW300" s="208"/>
      <c r="QX300" s="208"/>
      <c r="QY300" s="208"/>
      <c r="QZ300" s="208"/>
      <c r="RA300" s="208"/>
      <c r="RB300" s="208"/>
      <c r="RC300" s="208"/>
      <c r="RD300" s="208"/>
      <c r="RE300" s="208"/>
      <c r="RF300" s="208"/>
      <c r="RG300" s="208"/>
      <c r="RH300" s="208"/>
      <c r="RI300" s="208"/>
      <c r="RJ300" s="208"/>
      <c r="RK300" s="208"/>
      <c r="RL300" s="208"/>
      <c r="RM300" s="208"/>
      <c r="RN300" s="208"/>
      <c r="RO300" s="208"/>
      <c r="RP300" s="208"/>
      <c r="RQ300" s="208"/>
      <c r="RR300" s="208"/>
      <c r="RS300" s="208"/>
      <c r="RT300" s="208"/>
      <c r="RU300" s="208"/>
      <c r="RV300" s="208"/>
      <c r="RW300" s="208"/>
      <c r="RX300" s="208"/>
      <c r="RY300" s="208"/>
      <c r="RZ300" s="208"/>
      <c r="SA300" s="208"/>
      <c r="SB300" s="208"/>
      <c r="SC300" s="208"/>
      <c r="SD300" s="208"/>
      <c r="SE300" s="208"/>
      <c r="SF300" s="208"/>
      <c r="SG300" s="208"/>
      <c r="SH300" s="208"/>
      <c r="SI300" s="208"/>
      <c r="SJ300" s="208"/>
      <c r="SK300" s="208"/>
      <c r="SL300" s="208"/>
      <c r="SM300" s="208"/>
      <c r="SN300" s="208"/>
      <c r="SO300" s="208"/>
      <c r="SP300" s="208"/>
      <c r="SQ300" s="208"/>
      <c r="SR300" s="208"/>
      <c r="SS300" s="208"/>
      <c r="ST300" s="208"/>
      <c r="SU300" s="208"/>
      <c r="SV300" s="208"/>
      <c r="SW300" s="208"/>
      <c r="SX300" s="208"/>
      <c r="SY300" s="208"/>
      <c r="SZ300" s="208"/>
      <c r="TA300" s="208"/>
      <c r="TB300" s="208"/>
      <c r="TC300" s="208"/>
      <c r="TD300" s="208"/>
      <c r="TE300" s="208"/>
      <c r="TF300" s="208"/>
      <c r="TG300" s="208"/>
      <c r="TH300" s="208"/>
      <c r="TI300" s="208"/>
      <c r="TJ300" s="208"/>
      <c r="TK300" s="208"/>
      <c r="TL300" s="208"/>
      <c r="TM300" s="208"/>
      <c r="TN300" s="208"/>
      <c r="TO300" s="208"/>
      <c r="TP300" s="208"/>
      <c r="TQ300" s="208"/>
      <c r="TR300" s="208"/>
      <c r="TS300" s="208"/>
      <c r="TT300" s="208"/>
      <c r="TU300" s="208"/>
      <c r="TV300" s="208"/>
      <c r="TW300" s="208"/>
      <c r="TX300" s="208"/>
      <c r="TY300" s="208"/>
      <c r="TZ300" s="208"/>
      <c r="UA300" s="208"/>
      <c r="UB300" s="208"/>
      <c r="UC300" s="208"/>
      <c r="UD300" s="208"/>
      <c r="UE300" s="208"/>
      <c r="UF300" s="208"/>
      <c r="UG300" s="208"/>
      <c r="UH300" s="208"/>
      <c r="UI300" s="208"/>
      <c r="UJ300" s="208"/>
      <c r="UK300" s="208"/>
      <c r="UL300" s="208"/>
      <c r="UM300" s="208"/>
      <c r="UN300" s="208"/>
      <c r="UO300" s="208"/>
      <c r="UP300" s="208"/>
      <c r="UQ300" s="208"/>
      <c r="UR300" s="208"/>
      <c r="US300" s="208"/>
      <c r="UT300" s="208"/>
      <c r="UU300" s="208"/>
      <c r="UV300" s="208"/>
      <c r="UW300" s="208"/>
      <c r="UX300" s="208"/>
      <c r="UY300" s="208"/>
      <c r="UZ300" s="208"/>
      <c r="VA300" s="208"/>
      <c r="VB300" s="208"/>
      <c r="VC300" s="208"/>
      <c r="VD300" s="208"/>
      <c r="VE300" s="208"/>
      <c r="VF300" s="208"/>
      <c r="VG300" s="208"/>
      <c r="VH300" s="208"/>
      <c r="VI300" s="208"/>
      <c r="VJ300" s="208"/>
      <c r="VK300" s="208"/>
      <c r="VL300" s="208"/>
      <c r="VM300" s="208"/>
      <c r="VN300" s="208"/>
      <c r="VO300" s="208"/>
      <c r="VP300" s="208"/>
      <c r="VQ300" s="208"/>
      <c r="VR300" s="208"/>
      <c r="VS300" s="208"/>
      <c r="VT300" s="208"/>
      <c r="VU300" s="208"/>
      <c r="VV300" s="208"/>
      <c r="VW300" s="208"/>
      <c r="VX300" s="208"/>
      <c r="VY300" s="208"/>
      <c r="VZ300" s="208"/>
      <c r="WA300" s="208"/>
      <c r="WB300" s="208"/>
      <c r="WC300" s="208"/>
      <c r="WD300" s="208"/>
      <c r="WE300" s="208"/>
      <c r="WF300" s="208"/>
      <c r="WG300" s="208"/>
      <c r="WH300" s="208"/>
      <c r="WI300" s="208"/>
      <c r="WJ300" s="208"/>
      <c r="WK300" s="208"/>
      <c r="WL300" s="208"/>
      <c r="WM300" s="208"/>
      <c r="WN300" s="208"/>
      <c r="WO300" s="208"/>
      <c r="WP300" s="208"/>
      <c r="WQ300" s="208"/>
      <c r="WR300" s="208"/>
      <c r="WS300" s="208"/>
      <c r="WT300" s="208"/>
      <c r="WU300" s="208"/>
      <c r="WV300" s="208"/>
      <c r="WW300" s="208"/>
      <c r="WX300" s="208"/>
      <c r="WY300" s="208"/>
      <c r="WZ300" s="208"/>
      <c r="XA300" s="208"/>
      <c r="XB300" s="208"/>
      <c r="XC300" s="208"/>
      <c r="XD300" s="208"/>
      <c r="XE300" s="208"/>
      <c r="XF300" s="208"/>
      <c r="XG300" s="208"/>
      <c r="XH300" s="208"/>
      <c r="XI300" s="208"/>
      <c r="XJ300" s="208"/>
      <c r="XK300" s="208"/>
      <c r="XL300" s="208"/>
      <c r="XM300" s="208"/>
      <c r="XN300" s="208"/>
      <c r="XO300" s="208"/>
      <c r="XP300" s="208"/>
      <c r="XQ300" s="208"/>
      <c r="XR300" s="208"/>
      <c r="XS300" s="208"/>
      <c r="XT300" s="208"/>
      <c r="XU300" s="208"/>
      <c r="XV300" s="208"/>
      <c r="XW300" s="208"/>
      <c r="XX300" s="208"/>
      <c r="XY300" s="208"/>
      <c r="XZ300" s="208"/>
      <c r="YA300" s="208"/>
      <c r="YB300" s="208"/>
      <c r="YC300" s="208"/>
      <c r="YD300" s="208"/>
      <c r="YE300" s="208"/>
      <c r="YF300" s="208"/>
      <c r="YG300" s="208"/>
      <c r="YH300" s="208"/>
      <c r="YI300" s="208"/>
      <c r="YJ300" s="208"/>
      <c r="YK300" s="208"/>
      <c r="YL300" s="208"/>
      <c r="YM300" s="208"/>
      <c r="YN300" s="208"/>
      <c r="YO300" s="208"/>
      <c r="YP300" s="208"/>
      <c r="YQ300" s="208"/>
      <c r="YR300" s="208"/>
      <c r="YS300" s="208"/>
      <c r="YT300" s="208"/>
      <c r="YU300" s="208"/>
      <c r="YV300" s="208"/>
      <c r="YW300" s="208"/>
      <c r="YX300" s="208"/>
      <c r="YY300" s="208"/>
      <c r="YZ300" s="208"/>
      <c r="ZA300" s="208"/>
      <c r="ZB300" s="208"/>
      <c r="ZC300" s="208"/>
      <c r="ZD300" s="208"/>
      <c r="ZE300" s="208"/>
      <c r="ZF300" s="208"/>
      <c r="ZG300" s="208"/>
      <c r="ZH300" s="208"/>
      <c r="ZI300" s="208"/>
      <c r="ZJ300" s="208"/>
      <c r="ZK300" s="208"/>
      <c r="ZL300" s="208"/>
      <c r="ZM300" s="208"/>
      <c r="ZN300" s="208"/>
      <c r="ZO300" s="208"/>
      <c r="ZP300" s="208"/>
      <c r="ZQ300" s="208"/>
      <c r="ZR300" s="208"/>
      <c r="ZS300" s="208"/>
      <c r="ZT300" s="208"/>
      <c r="ZU300" s="208"/>
      <c r="ZV300" s="208"/>
      <c r="ZW300" s="208"/>
      <c r="ZX300" s="208"/>
      <c r="ZY300" s="208"/>
      <c r="ZZ300" s="208"/>
      <c r="AAA300" s="208"/>
      <c r="AAB300" s="208"/>
      <c r="AAC300" s="208"/>
      <c r="AAD300" s="208"/>
      <c r="AAE300" s="208"/>
      <c r="AAF300" s="208"/>
      <c r="AAG300" s="208"/>
      <c r="AAH300" s="208"/>
      <c r="AAI300" s="208"/>
      <c r="AAJ300" s="208"/>
      <c r="AAK300" s="208"/>
      <c r="AAL300" s="208"/>
      <c r="AAM300" s="208"/>
      <c r="AAN300" s="208"/>
      <c r="AAO300" s="208"/>
      <c r="AAP300" s="208"/>
      <c r="AAQ300" s="208"/>
      <c r="AAR300" s="208"/>
      <c r="AAS300" s="208"/>
      <c r="AAT300" s="208"/>
      <c r="AAU300" s="208"/>
      <c r="AAV300" s="208"/>
      <c r="AAW300" s="208"/>
      <c r="AAX300" s="208"/>
      <c r="AAY300" s="208"/>
      <c r="AAZ300" s="208"/>
      <c r="ABA300" s="208"/>
      <c r="ABB300" s="208"/>
      <c r="ABC300" s="208"/>
      <c r="ABD300" s="208"/>
      <c r="ABE300" s="208"/>
      <c r="ABF300" s="208"/>
      <c r="ABG300" s="208"/>
      <c r="ABH300" s="208"/>
      <c r="ABI300" s="208"/>
      <c r="ABJ300" s="208"/>
      <c r="ABK300" s="208"/>
      <c r="ABL300" s="208"/>
      <c r="ABM300" s="208"/>
      <c r="ABN300" s="208"/>
      <c r="ABO300" s="208"/>
      <c r="ABP300" s="208"/>
      <c r="ABQ300" s="208"/>
      <c r="ABR300" s="208"/>
      <c r="ABS300" s="208"/>
      <c r="ABT300" s="208"/>
      <c r="ABU300" s="208"/>
      <c r="ABV300" s="208"/>
      <c r="ABW300" s="208"/>
      <c r="ABX300" s="208"/>
      <c r="ABY300" s="208"/>
      <c r="ABZ300" s="208"/>
      <c r="ACA300" s="208"/>
      <c r="ACB300" s="208"/>
      <c r="ACC300" s="208"/>
      <c r="ACD300" s="208"/>
      <c r="ACE300" s="208"/>
      <c r="ACF300" s="208"/>
      <c r="ACG300" s="208"/>
      <c r="ACH300" s="208"/>
      <c r="ACI300" s="208"/>
      <c r="ACJ300" s="208"/>
      <c r="ACK300" s="208"/>
      <c r="ACL300" s="208"/>
      <c r="ACM300" s="208"/>
      <c r="ACN300" s="208"/>
      <c r="ACO300" s="208"/>
      <c r="ACP300" s="208"/>
      <c r="ACQ300" s="208"/>
      <c r="ACR300" s="208"/>
      <c r="ACS300" s="208"/>
      <c r="ACT300" s="208"/>
      <c r="ACU300" s="208"/>
      <c r="ACV300" s="208"/>
      <c r="ACW300" s="208"/>
      <c r="ACX300" s="208"/>
      <c r="ACY300" s="208"/>
      <c r="ACZ300" s="208"/>
      <c r="ADA300" s="208"/>
      <c r="ADB300" s="208"/>
      <c r="ADC300" s="208"/>
      <c r="ADD300" s="208"/>
      <c r="ADE300" s="208"/>
      <c r="ADF300" s="208"/>
      <c r="ADG300" s="208"/>
      <c r="ADH300" s="208"/>
      <c r="ADI300" s="208"/>
      <c r="ADJ300" s="208"/>
      <c r="ADK300" s="208"/>
      <c r="ADL300" s="208"/>
      <c r="ADM300" s="208"/>
      <c r="ADN300" s="208"/>
      <c r="ADO300" s="208"/>
      <c r="ADP300" s="208"/>
      <c r="ADQ300" s="208"/>
      <c r="ADR300" s="208"/>
      <c r="ADS300" s="208"/>
      <c r="ADT300" s="208"/>
      <c r="ADU300" s="208"/>
      <c r="ADV300" s="208"/>
      <c r="ADW300" s="208"/>
      <c r="ADX300" s="208"/>
      <c r="ADY300" s="208"/>
      <c r="ADZ300" s="208"/>
      <c r="AEA300" s="208"/>
      <c r="AEB300" s="208"/>
      <c r="AEC300" s="208"/>
      <c r="AED300" s="208"/>
      <c r="AEE300" s="208"/>
      <c r="AEF300" s="208"/>
      <c r="AEG300" s="208"/>
      <c r="AEH300" s="208"/>
      <c r="AEI300" s="208"/>
      <c r="AEJ300" s="208"/>
      <c r="AEK300" s="208"/>
      <c r="AEL300" s="208"/>
      <c r="AEM300" s="208"/>
      <c r="AEN300" s="208"/>
      <c r="AEO300" s="208"/>
      <c r="AEP300" s="208"/>
      <c r="AEQ300" s="208"/>
      <c r="AER300" s="208"/>
      <c r="AES300" s="208"/>
      <c r="AET300" s="208"/>
      <c r="AEU300" s="208"/>
      <c r="AEV300" s="208"/>
      <c r="AEW300" s="208"/>
      <c r="AEX300" s="208"/>
      <c r="AEY300" s="208"/>
      <c r="AEZ300" s="208"/>
      <c r="AFA300" s="208"/>
      <c r="AFB300" s="208"/>
      <c r="AFC300" s="208"/>
      <c r="AFD300" s="208"/>
      <c r="AFE300" s="208"/>
      <c r="AFF300" s="208"/>
      <c r="AFG300" s="208"/>
      <c r="AFH300" s="208"/>
      <c r="AFI300" s="208"/>
      <c r="AFJ300" s="208"/>
      <c r="AFK300" s="208"/>
      <c r="AFL300" s="208"/>
      <c r="AFM300" s="208"/>
      <c r="AFN300" s="208"/>
      <c r="AFO300" s="208"/>
      <c r="AFP300" s="208"/>
      <c r="AFQ300" s="208"/>
      <c r="AFR300" s="208"/>
      <c r="AFS300" s="208"/>
      <c r="AFT300" s="208"/>
      <c r="AFU300" s="208"/>
      <c r="AFV300" s="208"/>
      <c r="AFW300" s="208"/>
      <c r="AFX300" s="208"/>
      <c r="AFY300" s="208"/>
      <c r="AFZ300" s="208"/>
      <c r="AGA300" s="208"/>
      <c r="AGB300" s="208"/>
      <c r="AGC300" s="208"/>
      <c r="AGD300" s="208"/>
      <c r="AGE300" s="208"/>
      <c r="AGF300" s="208"/>
      <c r="AGG300" s="208"/>
      <c r="AGH300" s="208"/>
      <c r="AGI300" s="208"/>
      <c r="AGJ300" s="208"/>
      <c r="AGK300" s="208"/>
      <c r="AGL300" s="208"/>
      <c r="AGM300" s="208"/>
      <c r="AGN300" s="208"/>
      <c r="AGO300" s="208"/>
      <c r="AGP300" s="208"/>
      <c r="AGQ300" s="208"/>
      <c r="AGR300" s="208"/>
      <c r="AGS300" s="208"/>
      <c r="AGT300" s="208"/>
      <c r="AGU300" s="208"/>
      <c r="AGV300" s="208"/>
      <c r="AGW300" s="208"/>
      <c r="AGX300" s="208"/>
      <c r="AGY300" s="208"/>
      <c r="AGZ300" s="208"/>
      <c r="AHA300" s="208"/>
      <c r="AHB300" s="208"/>
      <c r="AHC300" s="208"/>
      <c r="AHD300" s="208"/>
      <c r="AHE300" s="208"/>
      <c r="AHF300" s="208"/>
      <c r="AHG300" s="208"/>
      <c r="AHH300" s="208"/>
      <c r="AHI300" s="208"/>
      <c r="AHJ300" s="208"/>
      <c r="AHK300" s="208"/>
      <c r="AHL300" s="208"/>
      <c r="AHM300" s="208"/>
      <c r="AHN300" s="208"/>
      <c r="AHO300" s="208"/>
      <c r="AHP300" s="208"/>
      <c r="AHQ300" s="208"/>
      <c r="AHR300" s="208"/>
      <c r="AHS300" s="208"/>
      <c r="AHT300" s="208"/>
      <c r="AHU300" s="208"/>
      <c r="AHV300" s="208"/>
      <c r="AHW300" s="208"/>
      <c r="AHX300" s="208"/>
      <c r="AHY300" s="208"/>
      <c r="AHZ300" s="208"/>
      <c r="AIA300" s="208"/>
      <c r="AIB300" s="208"/>
      <c r="AIC300" s="208"/>
      <c r="AID300" s="208"/>
      <c r="AIE300" s="208"/>
      <c r="AIF300" s="208"/>
      <c r="AIG300" s="208"/>
      <c r="AIH300" s="208"/>
      <c r="AII300" s="208"/>
      <c r="AIJ300" s="208"/>
      <c r="AIK300" s="208"/>
      <c r="AIL300" s="208"/>
      <c r="AIM300" s="208"/>
      <c r="AIN300" s="208"/>
      <c r="AIO300" s="208"/>
      <c r="AIP300" s="208"/>
      <c r="AIQ300" s="208"/>
      <c r="AIR300" s="208"/>
      <c r="AIS300" s="208"/>
      <c r="AIT300" s="208"/>
      <c r="AIU300" s="208"/>
      <c r="AIV300" s="208"/>
      <c r="AIW300" s="208"/>
      <c r="AIX300" s="208"/>
      <c r="AIY300" s="208"/>
      <c r="AIZ300" s="208"/>
      <c r="AJA300" s="208"/>
      <c r="AJB300" s="208"/>
      <c r="AJC300" s="208"/>
      <c r="AJD300" s="208"/>
      <c r="AJE300" s="208"/>
      <c r="AJF300" s="208"/>
      <c r="AJG300" s="208"/>
      <c r="AJH300" s="208"/>
      <c r="AJI300" s="208"/>
      <c r="AJJ300" s="208"/>
      <c r="AJK300" s="208"/>
      <c r="AJL300" s="208"/>
      <c r="AJM300" s="208"/>
      <c r="AJN300" s="208"/>
      <c r="AJO300" s="208"/>
      <c r="AJP300" s="208"/>
      <c r="AJQ300" s="208"/>
      <c r="AJR300" s="208"/>
      <c r="AJS300" s="208"/>
      <c r="AJT300" s="208"/>
      <c r="AJU300" s="208"/>
      <c r="AJV300" s="208"/>
      <c r="AJW300" s="208"/>
      <c r="AJX300" s="208"/>
      <c r="AJY300" s="208"/>
      <c r="AJZ300" s="208"/>
      <c r="AKA300" s="208"/>
      <c r="AKB300" s="208"/>
      <c r="AKC300" s="208"/>
      <c r="AKD300" s="208"/>
      <c r="AKE300" s="208"/>
      <c r="AKF300" s="208"/>
      <c r="AKG300" s="208"/>
      <c r="AKH300" s="208"/>
      <c r="AKI300" s="208"/>
      <c r="AKJ300" s="208"/>
      <c r="AKK300" s="208"/>
      <c r="AKL300" s="208"/>
      <c r="AKM300" s="208"/>
      <c r="AKN300" s="208"/>
      <c r="AKO300" s="208"/>
      <c r="AKP300" s="208"/>
      <c r="AKQ300" s="208"/>
      <c r="AKR300" s="208"/>
      <c r="AKS300" s="208"/>
      <c r="AKT300" s="208"/>
      <c r="AKU300" s="208"/>
      <c r="AKV300" s="208"/>
      <c r="AKW300" s="208"/>
      <c r="AKX300" s="208"/>
      <c r="AKY300" s="208"/>
      <c r="AKZ300" s="208"/>
      <c r="ALA300" s="208"/>
      <c r="ALB300" s="208"/>
      <c r="ALC300" s="208"/>
      <c r="ALD300" s="208"/>
      <c r="ALE300" s="208"/>
      <c r="ALF300" s="208"/>
      <c r="ALG300" s="208"/>
      <c r="ALH300" s="208"/>
      <c r="ALI300" s="208"/>
      <c r="ALJ300" s="208"/>
      <c r="ALK300" s="208"/>
      <c r="ALL300" s="208"/>
      <c r="ALM300" s="208"/>
      <c r="ALN300" s="208"/>
      <c r="ALO300" s="208"/>
      <c r="ALP300" s="208"/>
      <c r="ALQ300" s="208"/>
      <c r="ALR300" s="208"/>
      <c r="ALS300" s="208"/>
      <c r="ALT300" s="208"/>
      <c r="ALU300" s="208"/>
      <c r="ALV300" s="208"/>
      <c r="ALW300" s="208"/>
      <c r="ALX300" s="208"/>
      <c r="ALY300" s="208"/>
      <c r="ALZ300" s="208"/>
      <c r="AMA300" s="208"/>
      <c r="AMB300" s="208"/>
      <c r="AMC300" s="208"/>
      <c r="AMD300" s="208"/>
      <c r="AME300" s="208"/>
      <c r="AMF300" s="208"/>
      <c r="AMG300" s="208"/>
      <c r="AMH300" s="208"/>
      <c r="AMI300" s="208"/>
      <c r="AMJ300" s="208"/>
      <c r="AMK300" s="208"/>
      <c r="AML300" s="208"/>
      <c r="AMM300" s="208"/>
      <c r="AMN300" s="208"/>
      <c r="AMO300" s="208"/>
      <c r="AMP300" s="208"/>
      <c r="AMQ300" s="208"/>
      <c r="AMR300" s="208"/>
      <c r="AMS300" s="208"/>
      <c r="AMT300" s="208"/>
      <c r="AMU300" s="208"/>
      <c r="AMV300" s="208"/>
      <c r="AMW300" s="208"/>
      <c r="AMX300" s="208"/>
      <c r="AMY300" s="208"/>
      <c r="AMZ300" s="208"/>
      <c r="ANA300" s="208"/>
      <c r="ANB300" s="208"/>
      <c r="ANC300" s="208"/>
      <c r="AND300" s="208"/>
      <c r="ANE300" s="208"/>
      <c r="ANF300" s="208"/>
      <c r="ANG300" s="208"/>
      <c r="ANH300" s="208"/>
      <c r="ANI300" s="208"/>
      <c r="ANJ300" s="208"/>
      <c r="ANK300" s="208"/>
      <c r="ANL300" s="208"/>
      <c r="ANM300" s="208"/>
      <c r="ANN300" s="208"/>
      <c r="ANO300" s="208"/>
      <c r="ANP300" s="208"/>
      <c r="ANQ300" s="208"/>
      <c r="ANR300" s="208"/>
      <c r="ANS300" s="208"/>
      <c r="ANT300" s="208"/>
      <c r="ANU300" s="208"/>
      <c r="ANV300" s="208"/>
      <c r="ANW300" s="208"/>
      <c r="ANX300" s="208"/>
      <c r="ANY300" s="208"/>
      <c r="ANZ300" s="208"/>
      <c r="AOA300" s="208"/>
      <c r="AOB300" s="208"/>
      <c r="AOC300" s="208"/>
      <c r="AOD300" s="208"/>
      <c r="AOE300" s="208"/>
      <c r="AOF300" s="208"/>
      <c r="AOG300" s="208"/>
      <c r="AOH300" s="208"/>
      <c r="AOI300" s="208"/>
      <c r="AOJ300" s="208"/>
      <c r="AOK300" s="208"/>
      <c r="AOL300" s="208"/>
      <c r="AOM300" s="208"/>
      <c r="AON300" s="208"/>
      <c r="AOO300" s="208"/>
      <c r="AOP300" s="208"/>
      <c r="AOQ300" s="208"/>
      <c r="AOR300" s="208"/>
      <c r="AOS300" s="208"/>
      <c r="AOT300" s="208"/>
      <c r="AOU300" s="208"/>
      <c r="AOV300" s="208"/>
      <c r="AOW300" s="208"/>
      <c r="AOX300" s="208"/>
      <c r="AOY300" s="208"/>
      <c r="AOZ300" s="208"/>
      <c r="APA300" s="208"/>
      <c r="APB300" s="208"/>
      <c r="APC300" s="208"/>
      <c r="APD300" s="208"/>
      <c r="APE300" s="208"/>
      <c r="APF300" s="208"/>
      <c r="APG300" s="208"/>
      <c r="APH300" s="208"/>
      <c r="API300" s="208"/>
      <c r="APJ300" s="208"/>
      <c r="APK300" s="208"/>
      <c r="APL300" s="208"/>
      <c r="APM300" s="208"/>
      <c r="APN300" s="208"/>
      <c r="APO300" s="208"/>
      <c r="APP300" s="208"/>
      <c r="APQ300" s="208"/>
      <c r="APR300" s="208"/>
      <c r="APS300" s="208"/>
      <c r="APT300" s="208"/>
      <c r="APU300" s="208"/>
      <c r="APV300" s="208"/>
      <c r="APW300" s="208"/>
      <c r="APX300" s="208"/>
      <c r="APY300" s="208"/>
      <c r="APZ300" s="208"/>
      <c r="AQA300" s="208"/>
      <c r="AQB300" s="208"/>
      <c r="AQC300" s="208"/>
      <c r="AQD300" s="208"/>
      <c r="AQE300" s="208"/>
      <c r="AQF300" s="208"/>
      <c r="AQG300" s="208"/>
      <c r="AQH300" s="208"/>
      <c r="AQI300" s="208"/>
      <c r="AQJ300" s="208"/>
      <c r="AQK300" s="208"/>
      <c r="AQL300" s="208"/>
      <c r="AQM300" s="208"/>
      <c r="AQN300" s="208"/>
      <c r="AQO300" s="208"/>
      <c r="AQP300" s="208"/>
      <c r="AQQ300" s="208"/>
      <c r="AQR300" s="208"/>
      <c r="AQS300" s="208"/>
      <c r="AQT300" s="208"/>
      <c r="AQU300" s="208"/>
      <c r="AQV300" s="208"/>
      <c r="AQW300" s="208"/>
      <c r="AQX300" s="208"/>
      <c r="AQY300" s="208"/>
      <c r="AQZ300" s="208"/>
      <c r="ARA300" s="208"/>
      <c r="ARB300" s="208"/>
      <c r="ARC300" s="208"/>
      <c r="ARD300" s="208"/>
      <c r="ARE300" s="208"/>
      <c r="ARF300" s="208"/>
      <c r="ARG300" s="208"/>
      <c r="ARH300" s="208"/>
      <c r="ARI300" s="208"/>
      <c r="ARJ300" s="208"/>
      <c r="ARK300" s="208"/>
      <c r="ARL300" s="208"/>
      <c r="ARM300" s="208"/>
      <c r="ARN300" s="208"/>
      <c r="ARO300" s="208"/>
      <c r="ARP300" s="208"/>
      <c r="ARQ300" s="208"/>
      <c r="ARR300" s="208"/>
      <c r="ARS300" s="208"/>
      <c r="ART300" s="208"/>
      <c r="ARU300" s="208"/>
      <c r="ARV300" s="208"/>
      <c r="ARW300" s="208"/>
      <c r="ARX300" s="208"/>
      <c r="ARY300" s="208"/>
      <c r="ARZ300" s="208"/>
      <c r="ASA300" s="208"/>
      <c r="ASB300" s="208"/>
      <c r="ASC300" s="208"/>
      <c r="ASD300" s="208"/>
      <c r="ASE300" s="208"/>
      <c r="ASF300" s="208"/>
      <c r="ASG300" s="208"/>
      <c r="ASH300" s="208"/>
      <c r="ASI300" s="208"/>
      <c r="ASJ300" s="208"/>
      <c r="ASK300" s="208"/>
      <c r="ASL300" s="208"/>
      <c r="ASM300" s="208"/>
      <c r="ASN300" s="208"/>
      <c r="ASO300" s="208"/>
      <c r="ASP300" s="208"/>
      <c r="ASQ300" s="208"/>
      <c r="ASR300" s="208"/>
      <c r="ASS300" s="208"/>
      <c r="AST300" s="208"/>
      <c r="ASU300" s="208"/>
      <c r="ASV300" s="208"/>
      <c r="ASW300" s="208"/>
      <c r="ASX300" s="208"/>
      <c r="ASY300" s="208"/>
      <c r="ASZ300" s="208"/>
      <c r="ATA300" s="208"/>
      <c r="ATB300" s="208"/>
      <c r="ATC300" s="208"/>
      <c r="ATD300" s="208"/>
      <c r="ATE300" s="208"/>
      <c r="ATF300" s="208"/>
      <c r="ATG300" s="208"/>
      <c r="ATH300" s="208"/>
      <c r="ATI300" s="208"/>
      <c r="ATJ300" s="208"/>
      <c r="ATK300" s="208"/>
      <c r="ATL300" s="208"/>
      <c r="ATM300" s="208"/>
      <c r="ATN300" s="208"/>
      <c r="ATO300" s="208"/>
      <c r="ATP300" s="208"/>
      <c r="ATQ300" s="208"/>
      <c r="ATR300" s="208"/>
      <c r="ATS300" s="208"/>
      <c r="ATT300" s="208"/>
      <c r="ATU300" s="208"/>
      <c r="ATV300" s="208"/>
      <c r="ATW300" s="208"/>
      <c r="ATX300" s="208"/>
      <c r="ATY300" s="208"/>
      <c r="ATZ300" s="208"/>
      <c r="AUA300" s="208"/>
      <c r="AUB300" s="208"/>
      <c r="AUC300" s="208"/>
      <c r="AUD300" s="208"/>
      <c r="AUE300" s="208"/>
      <c r="AUF300" s="208"/>
      <c r="AUG300" s="208"/>
      <c r="AUH300" s="208"/>
      <c r="AUI300" s="208"/>
      <c r="AUJ300" s="208"/>
      <c r="AUK300" s="208"/>
      <c r="AUL300" s="208"/>
      <c r="AUM300" s="208"/>
      <c r="AUN300" s="208"/>
      <c r="AUO300" s="208"/>
      <c r="AUP300" s="208"/>
      <c r="AUQ300" s="208"/>
      <c r="AUR300" s="208"/>
      <c r="AUS300" s="208"/>
      <c r="AUT300" s="208"/>
      <c r="AUU300" s="208"/>
      <c r="AUV300" s="208"/>
      <c r="AUW300" s="208"/>
      <c r="AUX300" s="208"/>
      <c r="AUY300" s="208"/>
      <c r="AUZ300" s="208"/>
      <c r="AVA300" s="208"/>
      <c r="AVB300" s="208"/>
      <c r="AVC300" s="208"/>
      <c r="AVD300" s="208"/>
      <c r="AVE300" s="208"/>
      <c r="AVF300" s="208"/>
      <c r="AVG300" s="208"/>
      <c r="AVH300" s="208"/>
      <c r="AVI300" s="208"/>
      <c r="AVJ300" s="208"/>
      <c r="AVK300" s="208"/>
      <c r="AVL300" s="208"/>
      <c r="AVM300" s="208"/>
      <c r="AVN300" s="208"/>
      <c r="AVO300" s="208"/>
      <c r="AVP300" s="208"/>
      <c r="AVQ300" s="208"/>
      <c r="AVR300" s="208"/>
      <c r="AVS300" s="208"/>
      <c r="AVT300" s="208"/>
      <c r="AVU300" s="208"/>
      <c r="AVV300" s="208"/>
      <c r="AVW300" s="208"/>
      <c r="AVX300" s="208"/>
      <c r="AVY300" s="208"/>
      <c r="AVZ300" s="208"/>
      <c r="AWA300" s="208"/>
      <c r="AWB300" s="208"/>
      <c r="AWC300" s="208"/>
      <c r="AWD300" s="208"/>
      <c r="AWE300" s="208"/>
      <c r="AWF300" s="208"/>
      <c r="AWG300" s="208"/>
      <c r="AWH300" s="208"/>
      <c r="AWI300" s="208"/>
      <c r="AWJ300" s="208"/>
      <c r="AWK300" s="208"/>
      <c r="AWL300" s="208"/>
      <c r="AWM300" s="208"/>
      <c r="AWN300" s="208"/>
      <c r="AWO300" s="208"/>
      <c r="AWP300" s="208"/>
      <c r="AWQ300" s="208"/>
      <c r="AWR300" s="208"/>
      <c r="AWS300" s="208"/>
      <c r="AWT300" s="208"/>
      <c r="AWU300" s="208"/>
      <c r="AWV300" s="208"/>
      <c r="AWW300" s="208"/>
      <c r="AWX300" s="208"/>
      <c r="AWY300" s="208"/>
      <c r="AWZ300" s="208"/>
      <c r="AXA300" s="208"/>
      <c r="AXB300" s="208"/>
      <c r="AXC300" s="208"/>
      <c r="AXD300" s="208"/>
      <c r="AXE300" s="208"/>
      <c r="AXF300" s="208"/>
      <c r="AXG300" s="208"/>
      <c r="AXH300" s="208"/>
      <c r="AXI300" s="208"/>
      <c r="AXJ300" s="208"/>
      <c r="AXK300" s="208"/>
      <c r="AXL300" s="208"/>
      <c r="AXM300" s="208"/>
      <c r="AXN300" s="208"/>
      <c r="AXO300" s="208"/>
      <c r="AXP300" s="208"/>
      <c r="AXQ300" s="208"/>
      <c r="AXR300" s="208"/>
      <c r="AXS300" s="208"/>
      <c r="AXT300" s="208"/>
      <c r="AXU300" s="208"/>
      <c r="AXV300" s="208"/>
      <c r="AXW300" s="208"/>
      <c r="AXX300" s="208"/>
      <c r="AXY300" s="208"/>
      <c r="AXZ300" s="208"/>
      <c r="AYA300" s="208"/>
      <c r="AYB300" s="208"/>
      <c r="AYC300" s="208"/>
      <c r="AYD300" s="208"/>
      <c r="AYE300" s="208"/>
      <c r="AYF300" s="208"/>
      <c r="AYG300" s="208"/>
      <c r="AYH300" s="208"/>
      <c r="AYI300" s="208"/>
      <c r="AYJ300" s="208"/>
      <c r="AYK300" s="208"/>
      <c r="AYL300" s="208"/>
      <c r="AYM300" s="208"/>
      <c r="AYN300" s="208"/>
      <c r="AYO300" s="208"/>
      <c r="AYP300" s="208"/>
      <c r="AYQ300" s="208"/>
      <c r="AYR300" s="208"/>
      <c r="AYS300" s="208"/>
      <c r="AYT300" s="208"/>
      <c r="AYU300" s="208"/>
      <c r="AYV300" s="208"/>
      <c r="AYW300" s="208"/>
      <c r="AYX300" s="208"/>
      <c r="AYY300" s="208"/>
      <c r="AYZ300" s="208"/>
      <c r="AZA300" s="208"/>
      <c r="AZB300" s="208"/>
      <c r="AZC300" s="208"/>
      <c r="AZD300" s="208"/>
      <c r="AZE300" s="208"/>
      <c r="AZF300" s="208"/>
      <c r="AZG300" s="208"/>
      <c r="AZH300" s="208"/>
      <c r="AZI300" s="208"/>
      <c r="AZJ300" s="208"/>
      <c r="AZK300" s="208"/>
      <c r="AZL300" s="208"/>
      <c r="AZM300" s="208"/>
      <c r="AZN300" s="208"/>
      <c r="AZO300" s="208"/>
      <c r="AZP300" s="208"/>
      <c r="AZQ300" s="208"/>
      <c r="AZR300" s="208"/>
      <c r="AZS300" s="208"/>
      <c r="AZT300" s="208"/>
      <c r="AZU300" s="208"/>
      <c r="AZV300" s="208"/>
      <c r="AZW300" s="208"/>
      <c r="AZX300" s="208"/>
      <c r="AZY300" s="208"/>
      <c r="AZZ300" s="208"/>
      <c r="BAA300" s="208"/>
      <c r="BAB300" s="208"/>
      <c r="BAC300" s="208"/>
      <c r="BAD300" s="208"/>
      <c r="BAE300" s="208"/>
      <c r="BAF300" s="208"/>
      <c r="BAG300" s="208"/>
      <c r="BAH300" s="208"/>
      <c r="BAI300" s="208"/>
      <c r="BAJ300" s="208"/>
      <c r="BAK300" s="208"/>
      <c r="BAL300" s="208"/>
      <c r="BAM300" s="208"/>
      <c r="BAN300" s="208"/>
      <c r="BAO300" s="208"/>
      <c r="BAP300" s="208"/>
      <c r="BAQ300" s="208"/>
      <c r="BAR300" s="208"/>
      <c r="BAS300" s="208"/>
      <c r="BAT300" s="208"/>
      <c r="BAU300" s="208"/>
      <c r="BAV300" s="208"/>
      <c r="BAW300" s="208"/>
      <c r="BAX300" s="208"/>
      <c r="BAY300" s="208"/>
      <c r="BAZ300" s="208"/>
      <c r="BBA300" s="208"/>
      <c r="BBB300" s="208"/>
      <c r="BBC300" s="208"/>
      <c r="BBD300" s="208"/>
      <c r="BBE300" s="208"/>
      <c r="BBF300" s="208"/>
      <c r="BBG300" s="208"/>
      <c r="BBH300" s="208"/>
      <c r="BBI300" s="208"/>
      <c r="BBJ300" s="208"/>
      <c r="BBK300" s="208"/>
      <c r="BBL300" s="208"/>
      <c r="BBM300" s="208"/>
      <c r="BBN300" s="208"/>
      <c r="BBO300" s="208"/>
      <c r="BBP300" s="208"/>
      <c r="BBQ300" s="208"/>
      <c r="BBR300" s="208"/>
      <c r="BBS300" s="208"/>
      <c r="BBT300" s="208"/>
      <c r="BBU300" s="208"/>
      <c r="BBV300" s="208"/>
      <c r="BBW300" s="208"/>
      <c r="BBX300" s="208"/>
      <c r="BBY300" s="208"/>
      <c r="BBZ300" s="208"/>
      <c r="BCA300" s="208"/>
      <c r="BCB300" s="208"/>
      <c r="BCC300" s="208"/>
      <c r="BCD300" s="208"/>
      <c r="BCE300" s="208"/>
      <c r="BCF300" s="208"/>
      <c r="BCG300" s="208"/>
      <c r="BCH300" s="208"/>
      <c r="BCI300" s="208"/>
      <c r="BCJ300" s="208"/>
      <c r="BCK300" s="208"/>
      <c r="BCL300" s="208"/>
      <c r="BCM300" s="208"/>
      <c r="BCN300" s="208"/>
      <c r="BCO300" s="208"/>
      <c r="BCP300" s="208"/>
      <c r="BCQ300" s="208"/>
      <c r="BCR300" s="208"/>
      <c r="BCS300" s="208"/>
      <c r="BCT300" s="208"/>
      <c r="BCU300" s="208"/>
      <c r="BCV300" s="208"/>
      <c r="BCW300" s="208"/>
      <c r="BCX300" s="208"/>
      <c r="BCY300" s="208"/>
      <c r="BCZ300" s="208"/>
      <c r="BDA300" s="208"/>
      <c r="BDB300" s="208"/>
      <c r="BDC300" s="208"/>
      <c r="BDD300" s="208"/>
      <c r="BDE300" s="208"/>
      <c r="BDF300" s="208"/>
      <c r="BDG300" s="208"/>
      <c r="BDH300" s="208"/>
      <c r="BDI300" s="208"/>
      <c r="BDJ300" s="208"/>
      <c r="BDK300" s="208"/>
      <c r="BDL300" s="208"/>
      <c r="BDM300" s="208"/>
      <c r="BDN300" s="208"/>
      <c r="BDO300" s="208"/>
      <c r="BDP300" s="208"/>
      <c r="BDQ300" s="208"/>
      <c r="BDR300" s="208"/>
      <c r="BDS300" s="208"/>
      <c r="BDT300" s="208"/>
      <c r="BDU300" s="208"/>
      <c r="BDV300" s="208"/>
      <c r="BDW300" s="208"/>
      <c r="BDX300" s="208"/>
      <c r="BDY300" s="208"/>
      <c r="BDZ300" s="208"/>
      <c r="BEA300" s="208"/>
      <c r="BEB300" s="208"/>
      <c r="BEC300" s="208"/>
      <c r="BED300" s="208"/>
      <c r="BEE300" s="208"/>
      <c r="BEF300" s="208"/>
      <c r="BEG300" s="208"/>
      <c r="BEH300" s="208"/>
      <c r="BEI300" s="208"/>
      <c r="BEJ300" s="208"/>
      <c r="BEK300" s="208"/>
      <c r="BEL300" s="208"/>
      <c r="BEM300" s="208"/>
      <c r="BEN300" s="208"/>
      <c r="BEO300" s="208"/>
      <c r="BEP300" s="208"/>
      <c r="BEQ300" s="208"/>
      <c r="BER300" s="208"/>
      <c r="BES300" s="208"/>
      <c r="BET300" s="208"/>
      <c r="BEU300" s="208"/>
      <c r="BEV300" s="208"/>
      <c r="BEW300" s="208"/>
      <c r="BEX300" s="208"/>
      <c r="BEY300" s="208"/>
      <c r="BEZ300" s="208"/>
      <c r="BFA300" s="208"/>
      <c r="BFB300" s="208"/>
      <c r="BFC300" s="208"/>
      <c r="BFD300" s="208"/>
      <c r="BFE300" s="208"/>
      <c r="BFF300" s="208"/>
      <c r="BFG300" s="208"/>
      <c r="BFH300" s="208"/>
      <c r="BFI300" s="208"/>
      <c r="BFJ300" s="208"/>
      <c r="BFK300" s="208"/>
      <c r="BFL300" s="208"/>
      <c r="BFM300" s="208"/>
      <c r="BFN300" s="208"/>
      <c r="BFO300" s="208"/>
      <c r="BFP300" s="208"/>
      <c r="BFQ300" s="208"/>
      <c r="BFR300" s="208"/>
      <c r="BFS300" s="208"/>
      <c r="BFT300" s="208"/>
      <c r="BFU300" s="208"/>
      <c r="BFV300" s="208"/>
      <c r="BFW300" s="208"/>
      <c r="BFX300" s="208"/>
      <c r="BFY300" s="208"/>
      <c r="BFZ300" s="208"/>
      <c r="BGA300" s="208"/>
      <c r="BGB300" s="208"/>
      <c r="BGC300" s="208"/>
      <c r="BGD300" s="208"/>
      <c r="BGE300" s="208"/>
      <c r="BGF300" s="208"/>
      <c r="BGG300" s="208"/>
      <c r="BGH300" s="208"/>
      <c r="BGI300" s="208"/>
      <c r="BGJ300" s="208"/>
      <c r="BGK300" s="208"/>
      <c r="BGL300" s="208"/>
      <c r="BGM300" s="208"/>
      <c r="BGN300" s="208"/>
      <c r="BGO300" s="208"/>
      <c r="BGP300" s="208"/>
      <c r="BGQ300" s="208"/>
      <c r="BGR300" s="208"/>
      <c r="BGS300" s="208"/>
      <c r="BGT300" s="208"/>
      <c r="BGU300" s="208"/>
      <c r="BGV300" s="208"/>
      <c r="BGW300" s="208"/>
      <c r="BGX300" s="208"/>
      <c r="BGY300" s="208"/>
      <c r="BGZ300" s="208"/>
      <c r="BHA300" s="208"/>
      <c r="BHB300" s="208"/>
      <c r="BHC300" s="208"/>
      <c r="BHD300" s="208"/>
      <c r="BHE300" s="208"/>
      <c r="BHF300" s="208"/>
      <c r="BHG300" s="208"/>
      <c r="BHH300" s="208"/>
      <c r="BHI300" s="208"/>
      <c r="BHJ300" s="208"/>
      <c r="BHK300" s="208"/>
      <c r="BHL300" s="208"/>
      <c r="BHM300" s="208"/>
      <c r="BHN300" s="208"/>
      <c r="BHO300" s="208"/>
      <c r="BHP300" s="208"/>
      <c r="BHQ300" s="208"/>
      <c r="BHR300" s="208"/>
      <c r="BHS300" s="208"/>
      <c r="BHT300" s="208"/>
      <c r="BHU300" s="208"/>
      <c r="BHV300" s="208"/>
      <c r="BHW300" s="208"/>
      <c r="BHX300" s="208"/>
      <c r="BHY300" s="208"/>
      <c r="BHZ300" s="208"/>
      <c r="BIA300" s="208"/>
      <c r="BIB300" s="208"/>
      <c r="BIC300" s="208"/>
      <c r="BID300" s="208"/>
      <c r="BIE300" s="208"/>
      <c r="BIF300" s="208"/>
      <c r="BIG300" s="208"/>
      <c r="BIH300" s="208"/>
      <c r="BII300" s="208"/>
      <c r="BIJ300" s="208"/>
      <c r="BIK300" s="208"/>
      <c r="BIL300" s="208"/>
      <c r="BIM300" s="208"/>
      <c r="BIN300" s="208"/>
      <c r="BIO300" s="208"/>
      <c r="BIP300" s="208"/>
      <c r="BIQ300" s="208"/>
      <c r="BIR300" s="208"/>
      <c r="BIS300" s="208"/>
      <c r="BIT300" s="208"/>
      <c r="BIU300" s="208"/>
      <c r="BIV300" s="208"/>
      <c r="BIW300" s="208"/>
      <c r="BIX300" s="208"/>
      <c r="BIY300" s="208"/>
      <c r="BIZ300" s="208"/>
      <c r="BJA300" s="208"/>
      <c r="BJB300" s="208"/>
      <c r="BJC300" s="208"/>
      <c r="BJD300" s="208"/>
      <c r="BJE300" s="208"/>
      <c r="BJF300" s="208"/>
      <c r="BJG300" s="208"/>
      <c r="BJH300" s="208"/>
      <c r="BJI300" s="208"/>
      <c r="BJJ300" s="208"/>
      <c r="BJK300" s="208"/>
      <c r="BJL300" s="208"/>
      <c r="BJM300" s="208"/>
      <c r="BJN300" s="208"/>
      <c r="BJO300" s="208"/>
      <c r="BJP300" s="208"/>
      <c r="BJQ300" s="208"/>
      <c r="BJR300" s="208"/>
      <c r="BJS300" s="208"/>
      <c r="BJT300" s="208"/>
      <c r="BJU300" s="208"/>
      <c r="BJV300" s="208"/>
      <c r="BJW300" s="208"/>
      <c r="BJX300" s="208"/>
      <c r="BJY300" s="208"/>
      <c r="BJZ300" s="208"/>
      <c r="BKA300" s="208"/>
      <c r="BKB300" s="208"/>
      <c r="BKC300" s="208"/>
      <c r="BKD300" s="208"/>
      <c r="BKE300" s="208"/>
      <c r="BKF300" s="208"/>
      <c r="BKG300" s="208"/>
      <c r="BKH300" s="208"/>
      <c r="BKI300" s="208"/>
      <c r="BKJ300" s="208"/>
      <c r="BKK300" s="208"/>
      <c r="BKL300" s="208"/>
      <c r="BKM300" s="208"/>
      <c r="BKN300" s="208"/>
      <c r="BKO300" s="208"/>
      <c r="BKP300" s="208"/>
      <c r="BKQ300" s="208"/>
      <c r="BKR300" s="208"/>
      <c r="BKS300" s="208"/>
      <c r="BKT300" s="208"/>
      <c r="BKU300" s="208"/>
      <c r="BKV300" s="208"/>
      <c r="BKW300" s="208"/>
      <c r="BKX300" s="208"/>
      <c r="BKY300" s="208"/>
      <c r="BKZ300" s="208"/>
      <c r="BLA300" s="208"/>
      <c r="BLB300" s="208"/>
      <c r="BLC300" s="208"/>
      <c r="BLD300" s="208"/>
      <c r="BLE300" s="208"/>
      <c r="BLF300" s="208"/>
      <c r="BLG300" s="208"/>
      <c r="BLH300" s="208"/>
      <c r="BLI300" s="208"/>
      <c r="BLJ300" s="208"/>
      <c r="BLK300" s="208"/>
      <c r="BLL300" s="208"/>
      <c r="BLM300" s="208"/>
      <c r="BLN300" s="208"/>
      <c r="BLO300" s="208"/>
      <c r="BLP300" s="208"/>
      <c r="BLQ300" s="208"/>
      <c r="BLR300" s="208"/>
      <c r="BLS300" s="208"/>
      <c r="BLT300" s="208"/>
      <c r="BLU300" s="208"/>
      <c r="BLV300" s="208"/>
      <c r="BLW300" s="208"/>
      <c r="BLX300" s="208"/>
      <c r="BLY300" s="208"/>
      <c r="BLZ300" s="208"/>
      <c r="BMA300" s="208"/>
      <c r="BMB300" s="208"/>
      <c r="BMC300" s="208"/>
      <c r="BMD300" s="208"/>
      <c r="BME300" s="208"/>
      <c r="BMF300" s="208"/>
      <c r="BMG300" s="208"/>
      <c r="BMH300" s="208"/>
      <c r="BMI300" s="208"/>
      <c r="BMJ300" s="208"/>
      <c r="BMK300" s="208"/>
      <c r="BML300" s="208"/>
      <c r="BMM300" s="208"/>
      <c r="BMN300" s="208"/>
      <c r="BMO300" s="208"/>
      <c r="BMP300" s="208"/>
      <c r="BMQ300" s="208"/>
      <c r="BMR300" s="208"/>
      <c r="BMS300" s="208"/>
      <c r="BMT300" s="208"/>
      <c r="BMU300" s="208"/>
      <c r="BMV300" s="208"/>
      <c r="BMW300" s="208"/>
      <c r="BMX300" s="208"/>
      <c r="BMY300" s="208"/>
      <c r="BMZ300" s="208"/>
      <c r="BNA300" s="208"/>
      <c r="BNB300" s="208"/>
      <c r="BNC300" s="208"/>
      <c r="BND300" s="208"/>
      <c r="BNE300" s="208"/>
      <c r="BNF300" s="208"/>
      <c r="BNG300" s="208"/>
      <c r="BNH300" s="208"/>
      <c r="BNI300" s="208"/>
      <c r="BNJ300" s="208"/>
      <c r="BNK300" s="208"/>
      <c r="BNL300" s="208"/>
      <c r="BNM300" s="208"/>
      <c r="BNN300" s="208"/>
      <c r="BNO300" s="208"/>
      <c r="BNP300" s="208"/>
      <c r="BNQ300" s="208"/>
      <c r="BNR300" s="208"/>
      <c r="BNS300" s="208"/>
      <c r="BNT300" s="208"/>
      <c r="BNU300" s="208"/>
      <c r="BNV300" s="208"/>
      <c r="BNW300" s="208"/>
      <c r="BNX300" s="208"/>
      <c r="BNY300" s="208"/>
      <c r="BNZ300" s="208"/>
      <c r="BOA300" s="208"/>
      <c r="BOB300" s="208"/>
      <c r="BOC300" s="208"/>
      <c r="BOD300" s="208"/>
      <c r="BOE300" s="208"/>
      <c r="BOF300" s="208"/>
      <c r="BOG300" s="208"/>
      <c r="BOH300" s="208"/>
      <c r="BOI300" s="208"/>
      <c r="BOJ300" s="208"/>
      <c r="BOK300" s="208"/>
      <c r="BOL300" s="208"/>
      <c r="BOM300" s="208"/>
      <c r="BON300" s="208"/>
      <c r="BOO300" s="208"/>
      <c r="BOP300" s="208"/>
      <c r="BOQ300" s="208"/>
      <c r="BOR300" s="208"/>
      <c r="BOS300" s="208"/>
      <c r="BOT300" s="208"/>
      <c r="BOU300" s="208"/>
      <c r="BOV300" s="208"/>
      <c r="BOW300" s="208"/>
      <c r="BOX300" s="208"/>
      <c r="BOY300" s="208"/>
      <c r="BOZ300" s="208"/>
      <c r="BPA300" s="208"/>
      <c r="BPB300" s="208"/>
      <c r="BPC300" s="208"/>
      <c r="BPD300" s="208"/>
      <c r="BPE300" s="208"/>
      <c r="BPF300" s="208"/>
      <c r="BPG300" s="208"/>
      <c r="BPH300" s="208"/>
      <c r="BPI300" s="208"/>
      <c r="BPJ300" s="208"/>
      <c r="BPK300" s="208"/>
      <c r="BPL300" s="208"/>
      <c r="BPM300" s="208"/>
      <c r="BPN300" s="208"/>
      <c r="BPO300" s="208"/>
      <c r="BPP300" s="208"/>
      <c r="BPQ300" s="208"/>
      <c r="BPR300" s="208"/>
      <c r="BPS300" s="208"/>
      <c r="BPT300" s="208"/>
      <c r="BPU300" s="208"/>
      <c r="BPV300" s="208"/>
      <c r="BPW300" s="208"/>
      <c r="BPX300" s="208"/>
      <c r="BPY300" s="208"/>
      <c r="BPZ300" s="208"/>
      <c r="BQA300" s="208"/>
      <c r="BQB300" s="208"/>
      <c r="BQC300" s="208"/>
      <c r="BQD300" s="208"/>
      <c r="BQE300" s="208"/>
      <c r="BQF300" s="208"/>
      <c r="BQG300" s="208"/>
      <c r="BQH300" s="208"/>
      <c r="BQI300" s="208"/>
      <c r="BQJ300" s="208"/>
      <c r="BQK300" s="208"/>
      <c r="BQL300" s="208"/>
      <c r="BQM300" s="208"/>
      <c r="BQN300" s="208"/>
      <c r="BQO300" s="208"/>
      <c r="BQP300" s="208"/>
      <c r="BQQ300" s="208"/>
      <c r="BQR300" s="208"/>
      <c r="BQS300" s="208"/>
      <c r="BQT300" s="208"/>
      <c r="BQU300" s="208"/>
      <c r="BQV300" s="208"/>
      <c r="BQW300" s="208"/>
      <c r="BQX300" s="208"/>
      <c r="BQY300" s="208"/>
      <c r="BQZ300" s="208"/>
      <c r="BRA300" s="208"/>
      <c r="BRB300" s="208"/>
      <c r="BRC300" s="208"/>
      <c r="BRD300" s="208"/>
      <c r="BRE300" s="208"/>
      <c r="BRF300" s="208"/>
      <c r="BRG300" s="208"/>
      <c r="BRH300" s="208"/>
      <c r="BRI300" s="208"/>
      <c r="BRJ300" s="208"/>
      <c r="BRK300" s="208"/>
      <c r="BRL300" s="208"/>
      <c r="BRM300" s="208"/>
      <c r="BRN300" s="208"/>
      <c r="BRO300" s="208"/>
      <c r="BRP300" s="208"/>
      <c r="BRQ300" s="208"/>
      <c r="BRR300" s="208"/>
      <c r="BRS300" s="208"/>
      <c r="BRT300" s="208"/>
      <c r="BRU300" s="208"/>
      <c r="BRV300" s="208"/>
      <c r="BRW300" s="208"/>
      <c r="BRX300" s="208"/>
      <c r="BRY300" s="208"/>
      <c r="BRZ300" s="208"/>
      <c r="BSA300" s="208"/>
      <c r="BSB300" s="208"/>
      <c r="BSC300" s="208"/>
      <c r="BSD300" s="208"/>
      <c r="BSE300" s="208"/>
      <c r="BSF300" s="208"/>
      <c r="BSG300" s="208"/>
      <c r="BSH300" s="208"/>
      <c r="BSI300" s="208"/>
      <c r="BSJ300" s="208"/>
      <c r="BSK300" s="208"/>
      <c r="BSL300" s="208"/>
      <c r="BSM300" s="208"/>
      <c r="BSN300" s="208"/>
      <c r="BSO300" s="208"/>
      <c r="BSP300" s="208"/>
      <c r="BSQ300" s="208"/>
      <c r="BSR300" s="208"/>
      <c r="BSS300" s="208"/>
      <c r="BST300" s="208"/>
      <c r="BSU300" s="208"/>
      <c r="BSV300" s="208"/>
      <c r="BSW300" s="208"/>
      <c r="BSX300" s="208"/>
      <c r="BSY300" s="208"/>
      <c r="BSZ300" s="208"/>
      <c r="BTA300" s="208"/>
      <c r="BTB300" s="208"/>
      <c r="BTC300" s="208"/>
      <c r="BTD300" s="208"/>
      <c r="BTE300" s="208"/>
      <c r="BTF300" s="208"/>
      <c r="BTG300" s="208"/>
      <c r="BTH300" s="208"/>
      <c r="BTI300" s="208"/>
      <c r="BTJ300" s="208"/>
      <c r="BTK300" s="208"/>
      <c r="BTL300" s="208"/>
      <c r="BTM300" s="208"/>
      <c r="BTN300" s="208"/>
      <c r="BTO300" s="208"/>
      <c r="BTP300" s="208"/>
      <c r="BTQ300" s="208"/>
      <c r="BTR300" s="208"/>
      <c r="BTS300" s="208"/>
      <c r="BTT300" s="208"/>
      <c r="BTU300" s="208"/>
      <c r="BTV300" s="208"/>
      <c r="BTW300" s="208"/>
      <c r="BTX300" s="208"/>
      <c r="BTY300" s="208"/>
      <c r="BTZ300" s="208"/>
      <c r="BUA300" s="208"/>
      <c r="BUB300" s="208"/>
      <c r="BUC300" s="208"/>
      <c r="BUD300" s="208"/>
      <c r="BUE300" s="208"/>
      <c r="BUF300" s="208"/>
      <c r="BUG300" s="208"/>
      <c r="BUH300" s="208"/>
      <c r="BUI300" s="208"/>
      <c r="BUJ300" s="208"/>
      <c r="BUK300" s="208"/>
      <c r="BUL300" s="208"/>
      <c r="BUM300" s="208"/>
      <c r="BUN300" s="208"/>
      <c r="BUO300" s="208"/>
      <c r="BUP300" s="208"/>
      <c r="BUQ300" s="208"/>
      <c r="BUR300" s="208"/>
      <c r="BUS300" s="208"/>
      <c r="BUT300" s="208"/>
      <c r="BUU300" s="208"/>
      <c r="BUV300" s="208"/>
      <c r="BUW300" s="208"/>
      <c r="BUX300" s="208"/>
      <c r="BUY300" s="208"/>
      <c r="BUZ300" s="208"/>
      <c r="BVA300" s="208"/>
      <c r="BVB300" s="208"/>
      <c r="BVC300" s="208"/>
      <c r="BVD300" s="208"/>
      <c r="BVE300" s="208"/>
      <c r="BVF300" s="208"/>
      <c r="BVG300" s="208"/>
      <c r="BVH300" s="208"/>
      <c r="BVI300" s="208"/>
      <c r="BVJ300" s="208"/>
      <c r="BVK300" s="208"/>
      <c r="BVL300" s="208"/>
      <c r="BVM300" s="208"/>
      <c r="BVN300" s="208"/>
      <c r="BVO300" s="208"/>
      <c r="BVP300" s="208"/>
      <c r="BVQ300" s="208"/>
      <c r="BVR300" s="208"/>
      <c r="BVS300" s="208"/>
      <c r="BVT300" s="208"/>
      <c r="BVU300" s="208"/>
      <c r="BVV300" s="208"/>
      <c r="BVW300" s="208"/>
      <c r="BVX300" s="208"/>
      <c r="BVY300" s="208"/>
      <c r="BVZ300" s="208"/>
      <c r="BWA300" s="208"/>
      <c r="BWB300" s="208"/>
      <c r="BWC300" s="208"/>
      <c r="BWD300" s="208"/>
      <c r="BWE300" s="208"/>
      <c r="BWF300" s="208"/>
      <c r="BWG300" s="208"/>
      <c r="BWH300" s="208"/>
      <c r="BWI300" s="208"/>
      <c r="BWJ300" s="208"/>
      <c r="BWK300" s="208"/>
      <c r="BWL300" s="208"/>
      <c r="BWM300" s="208"/>
      <c r="BWN300" s="208"/>
      <c r="BWO300" s="208"/>
      <c r="BWP300" s="208"/>
      <c r="BWQ300" s="208"/>
      <c r="BWR300" s="208"/>
      <c r="BWS300" s="208"/>
      <c r="BWT300" s="208"/>
      <c r="BWU300" s="208"/>
      <c r="BWV300" s="208"/>
      <c r="BWW300" s="208"/>
      <c r="BWX300" s="208"/>
      <c r="BWY300" s="208"/>
      <c r="BWZ300" s="208"/>
      <c r="BXA300" s="208"/>
      <c r="BXB300" s="208"/>
      <c r="BXC300" s="208"/>
      <c r="BXD300" s="208"/>
      <c r="BXE300" s="208"/>
      <c r="BXF300" s="208"/>
      <c r="BXG300" s="208"/>
      <c r="BXH300" s="208"/>
      <c r="BXI300" s="208"/>
      <c r="BXJ300" s="208"/>
      <c r="BXK300" s="208"/>
      <c r="BXL300" s="208"/>
      <c r="BXM300" s="208"/>
      <c r="BXN300" s="208"/>
      <c r="BXO300" s="208"/>
      <c r="BXP300" s="208"/>
      <c r="BXQ300" s="208"/>
      <c r="BXR300" s="208"/>
      <c r="BXS300" s="208"/>
      <c r="BXT300" s="208"/>
      <c r="BXU300" s="208"/>
      <c r="BXV300" s="208"/>
      <c r="BXW300" s="208"/>
      <c r="BXX300" s="208"/>
      <c r="BXY300" s="208"/>
      <c r="BXZ300" s="208"/>
      <c r="BYA300" s="208"/>
      <c r="BYB300" s="208"/>
      <c r="BYC300" s="208"/>
      <c r="BYD300" s="208"/>
      <c r="BYE300" s="208"/>
      <c r="BYF300" s="208"/>
      <c r="BYG300" s="208"/>
      <c r="BYH300" s="208"/>
      <c r="BYI300" s="208"/>
      <c r="BYJ300" s="208"/>
      <c r="BYK300" s="208"/>
      <c r="BYL300" s="208"/>
      <c r="BYM300" s="208"/>
      <c r="BYN300" s="208"/>
      <c r="BYO300" s="208"/>
      <c r="BYP300" s="208"/>
      <c r="BYQ300" s="208"/>
      <c r="BYR300" s="208"/>
      <c r="BYS300" s="208"/>
      <c r="BYT300" s="208"/>
      <c r="BYU300" s="208"/>
      <c r="BYV300" s="208"/>
      <c r="BYW300" s="208"/>
      <c r="BYX300" s="208"/>
      <c r="BYY300" s="208"/>
      <c r="BYZ300" s="208"/>
      <c r="BZA300" s="208"/>
      <c r="BZB300" s="208"/>
      <c r="BZC300" s="208"/>
      <c r="BZD300" s="208"/>
      <c r="BZE300" s="208"/>
      <c r="BZF300" s="208"/>
      <c r="BZG300" s="208"/>
      <c r="BZH300" s="208"/>
      <c r="BZI300" s="208"/>
      <c r="BZJ300" s="208"/>
      <c r="BZK300" s="208"/>
      <c r="BZL300" s="208"/>
      <c r="BZM300" s="208"/>
      <c r="BZN300" s="208"/>
      <c r="BZO300" s="208"/>
      <c r="BZP300" s="208"/>
      <c r="BZQ300" s="208"/>
      <c r="BZR300" s="208"/>
      <c r="BZS300" s="208"/>
      <c r="BZT300" s="208"/>
      <c r="BZU300" s="208"/>
      <c r="BZV300" s="208"/>
      <c r="BZW300" s="208"/>
      <c r="BZX300" s="208"/>
      <c r="BZY300" s="208"/>
      <c r="BZZ300" s="208"/>
      <c r="CAA300" s="208"/>
      <c r="CAB300" s="208"/>
      <c r="CAC300" s="208"/>
      <c r="CAD300" s="208"/>
      <c r="CAE300" s="208"/>
      <c r="CAF300" s="208"/>
      <c r="CAG300" s="208"/>
      <c r="CAH300" s="208"/>
      <c r="CAI300" s="208"/>
      <c r="CAJ300" s="208"/>
      <c r="CAK300" s="208"/>
      <c r="CAL300" s="208"/>
      <c r="CAM300" s="208"/>
      <c r="CAN300" s="208"/>
      <c r="CAO300" s="208"/>
      <c r="CAP300" s="208"/>
      <c r="CAQ300" s="208"/>
      <c r="CAR300" s="208"/>
      <c r="CAS300" s="208"/>
      <c r="CAT300" s="208"/>
      <c r="CAU300" s="208"/>
      <c r="CAV300" s="208"/>
      <c r="CAW300" s="208"/>
      <c r="CAX300" s="208"/>
      <c r="CAY300" s="208"/>
      <c r="CAZ300" s="208"/>
      <c r="CBA300" s="208"/>
      <c r="CBB300" s="208"/>
      <c r="CBC300" s="208"/>
      <c r="CBD300" s="208"/>
      <c r="CBE300" s="208"/>
      <c r="CBF300" s="208"/>
      <c r="CBG300" s="208"/>
      <c r="CBH300" s="208"/>
      <c r="CBI300" s="208"/>
      <c r="CBJ300" s="208"/>
      <c r="CBK300" s="208"/>
      <c r="CBL300" s="208"/>
      <c r="CBM300" s="208"/>
      <c r="CBN300" s="208"/>
      <c r="CBO300" s="208"/>
      <c r="CBP300" s="208"/>
      <c r="CBQ300" s="208"/>
      <c r="CBR300" s="208"/>
      <c r="CBS300" s="208"/>
      <c r="CBT300" s="208"/>
      <c r="CBU300" s="208"/>
      <c r="CBV300" s="208"/>
      <c r="CBW300" s="208"/>
      <c r="CBX300" s="208"/>
      <c r="CBY300" s="208"/>
      <c r="CBZ300" s="208"/>
      <c r="CCA300" s="208"/>
      <c r="CCB300" s="208"/>
      <c r="CCC300" s="208"/>
      <c r="CCD300" s="208"/>
      <c r="CCE300" s="208"/>
      <c r="CCF300" s="208"/>
      <c r="CCG300" s="208"/>
      <c r="CCH300" s="208"/>
      <c r="CCI300" s="208"/>
      <c r="CCJ300" s="208"/>
      <c r="CCK300" s="208"/>
      <c r="CCL300" s="208"/>
      <c r="CCM300" s="208"/>
      <c r="CCN300" s="208"/>
      <c r="CCO300" s="208"/>
      <c r="CCP300" s="208"/>
      <c r="CCQ300" s="208"/>
      <c r="CCR300" s="208"/>
      <c r="CCS300" s="208"/>
      <c r="CCT300" s="208"/>
      <c r="CCU300" s="208"/>
      <c r="CCV300" s="208"/>
      <c r="CCW300" s="208"/>
      <c r="CCX300" s="208"/>
      <c r="CCY300" s="208"/>
      <c r="CCZ300" s="208"/>
      <c r="CDA300" s="208"/>
      <c r="CDB300" s="208"/>
      <c r="CDC300" s="208"/>
      <c r="CDD300" s="208"/>
      <c r="CDE300" s="208"/>
      <c r="CDF300" s="208"/>
      <c r="CDG300" s="208"/>
      <c r="CDH300" s="208"/>
      <c r="CDI300" s="208"/>
      <c r="CDJ300" s="208"/>
      <c r="CDK300" s="208"/>
      <c r="CDL300" s="208"/>
      <c r="CDM300" s="208"/>
      <c r="CDN300" s="208"/>
      <c r="CDO300" s="208"/>
      <c r="CDP300" s="208"/>
      <c r="CDQ300" s="208"/>
      <c r="CDR300" s="208"/>
      <c r="CDS300" s="208"/>
      <c r="CDT300" s="208"/>
      <c r="CDU300" s="208"/>
      <c r="CDV300" s="208"/>
      <c r="CDW300" s="208"/>
      <c r="CDX300" s="208"/>
      <c r="CDY300" s="208"/>
      <c r="CDZ300" s="208"/>
      <c r="CEA300" s="208"/>
      <c r="CEB300" s="208"/>
      <c r="CEC300" s="208"/>
      <c r="CED300" s="208"/>
      <c r="CEE300" s="208"/>
      <c r="CEF300" s="208"/>
      <c r="CEG300" s="208"/>
      <c r="CEH300" s="208"/>
      <c r="CEI300" s="208"/>
      <c r="CEJ300" s="208"/>
      <c r="CEK300" s="208"/>
      <c r="CEL300" s="208"/>
      <c r="CEM300" s="208"/>
      <c r="CEN300" s="208"/>
      <c r="CEO300" s="208"/>
      <c r="CEP300" s="208"/>
      <c r="CEQ300" s="208"/>
      <c r="CER300" s="208"/>
      <c r="CES300" s="208"/>
      <c r="CET300" s="208"/>
      <c r="CEU300" s="208"/>
      <c r="CEV300" s="208"/>
      <c r="CEW300" s="208"/>
      <c r="CEX300" s="208"/>
      <c r="CEY300" s="208"/>
      <c r="CEZ300" s="208"/>
      <c r="CFA300" s="208"/>
      <c r="CFB300" s="208"/>
      <c r="CFC300" s="208"/>
      <c r="CFD300" s="208"/>
      <c r="CFE300" s="208"/>
      <c r="CFF300" s="208"/>
      <c r="CFG300" s="208"/>
      <c r="CFH300" s="208"/>
      <c r="CFI300" s="208"/>
      <c r="CFJ300" s="208"/>
      <c r="CFK300" s="208"/>
      <c r="CFL300" s="208"/>
      <c r="CFM300" s="208"/>
      <c r="CFN300" s="208"/>
      <c r="CFO300" s="208"/>
      <c r="CFP300" s="208"/>
      <c r="CFQ300" s="208"/>
      <c r="CFR300" s="208"/>
      <c r="CFS300" s="208"/>
      <c r="CFT300" s="208"/>
      <c r="CFU300" s="208"/>
      <c r="CFV300" s="208"/>
      <c r="CFW300" s="208"/>
      <c r="CFX300" s="208"/>
      <c r="CFY300" s="208"/>
      <c r="CFZ300" s="208"/>
      <c r="CGA300" s="208"/>
      <c r="CGB300" s="208"/>
      <c r="CGC300" s="208"/>
      <c r="CGD300" s="208"/>
      <c r="CGE300" s="208"/>
      <c r="CGF300" s="208"/>
      <c r="CGG300" s="208"/>
      <c r="CGH300" s="208"/>
      <c r="CGI300" s="208"/>
      <c r="CGJ300" s="208"/>
      <c r="CGK300" s="208"/>
      <c r="CGL300" s="208"/>
      <c r="CGM300" s="208"/>
      <c r="CGN300" s="208"/>
      <c r="CGO300" s="208"/>
      <c r="CGP300" s="208"/>
      <c r="CGQ300" s="208"/>
      <c r="CGR300" s="208"/>
      <c r="CGS300" s="208"/>
      <c r="CGT300" s="208"/>
      <c r="CGU300" s="208"/>
      <c r="CGV300" s="208"/>
      <c r="CGW300" s="208"/>
      <c r="CGX300" s="208"/>
      <c r="CGY300" s="208"/>
      <c r="CGZ300" s="208"/>
      <c r="CHA300" s="208"/>
      <c r="CHB300" s="208"/>
      <c r="CHC300" s="208"/>
      <c r="CHD300" s="208"/>
      <c r="CHE300" s="208"/>
      <c r="CHF300" s="208"/>
      <c r="CHG300" s="208"/>
      <c r="CHH300" s="208"/>
      <c r="CHI300" s="208"/>
      <c r="CHJ300" s="208"/>
      <c r="CHK300" s="208"/>
      <c r="CHL300" s="208"/>
      <c r="CHM300" s="208"/>
      <c r="CHN300" s="208"/>
      <c r="CHO300" s="208"/>
      <c r="CHP300" s="208"/>
      <c r="CHQ300" s="208"/>
      <c r="CHR300" s="208"/>
      <c r="CHS300" s="208"/>
      <c r="CHT300" s="208"/>
      <c r="CHU300" s="208"/>
      <c r="CHV300" s="208"/>
      <c r="CHW300" s="208"/>
      <c r="CHX300" s="208"/>
      <c r="CHY300" s="208"/>
      <c r="CHZ300" s="208"/>
      <c r="CIA300" s="208"/>
      <c r="CIB300" s="208"/>
      <c r="CIC300" s="208"/>
      <c r="CID300" s="208"/>
      <c r="CIE300" s="208"/>
      <c r="CIF300" s="208"/>
      <c r="CIG300" s="208"/>
      <c r="CIH300" s="208"/>
      <c r="CII300" s="208"/>
      <c r="CIJ300" s="208"/>
      <c r="CIK300" s="208"/>
      <c r="CIL300" s="208"/>
      <c r="CIM300" s="208"/>
      <c r="CIN300" s="208"/>
      <c r="CIO300" s="208"/>
      <c r="CIP300" s="208"/>
      <c r="CIQ300" s="208"/>
      <c r="CIR300" s="208"/>
      <c r="CIS300" s="208"/>
      <c r="CIT300" s="208"/>
      <c r="CIU300" s="208"/>
      <c r="CIV300" s="208"/>
      <c r="CIW300" s="208"/>
      <c r="CIX300" s="208"/>
      <c r="CIY300" s="208"/>
      <c r="CIZ300" s="208"/>
      <c r="CJA300" s="208"/>
      <c r="CJB300" s="208"/>
      <c r="CJC300" s="208"/>
      <c r="CJD300" s="208"/>
      <c r="CJE300" s="208"/>
      <c r="CJF300" s="208"/>
      <c r="CJG300" s="208"/>
      <c r="CJH300" s="208"/>
      <c r="CJI300" s="208"/>
      <c r="CJJ300" s="208"/>
      <c r="CJK300" s="208"/>
      <c r="CJL300" s="208"/>
      <c r="CJM300" s="208"/>
      <c r="CJN300" s="208"/>
      <c r="CJO300" s="208"/>
      <c r="CJP300" s="208"/>
      <c r="CJQ300" s="208"/>
      <c r="CJR300" s="208"/>
      <c r="CJS300" s="208"/>
      <c r="CJT300" s="208"/>
      <c r="CJU300" s="208"/>
      <c r="CJV300" s="208"/>
      <c r="CJW300" s="208"/>
      <c r="CJX300" s="208"/>
      <c r="CJY300" s="208"/>
      <c r="CJZ300" s="208"/>
      <c r="CKA300" s="208"/>
      <c r="CKB300" s="208"/>
      <c r="CKC300" s="208"/>
      <c r="CKD300" s="208"/>
      <c r="CKE300" s="208"/>
      <c r="CKF300" s="208"/>
      <c r="CKG300" s="208"/>
      <c r="CKH300" s="208"/>
      <c r="CKI300" s="208"/>
      <c r="CKJ300" s="208"/>
      <c r="CKK300" s="208"/>
      <c r="CKL300" s="208"/>
      <c r="CKM300" s="208"/>
      <c r="CKN300" s="208"/>
      <c r="CKO300" s="208"/>
      <c r="CKP300" s="208"/>
      <c r="CKQ300" s="208"/>
      <c r="CKR300" s="208"/>
      <c r="CKS300" s="208"/>
      <c r="CKT300" s="208"/>
      <c r="CKU300" s="208"/>
      <c r="CKV300" s="208"/>
      <c r="CKW300" s="208"/>
      <c r="CKX300" s="208"/>
      <c r="CKY300" s="208"/>
      <c r="CKZ300" s="208"/>
      <c r="CLA300" s="208"/>
      <c r="CLB300" s="208"/>
      <c r="CLC300" s="208"/>
      <c r="CLD300" s="208"/>
      <c r="CLE300" s="208"/>
      <c r="CLF300" s="208"/>
      <c r="CLG300" s="208"/>
      <c r="CLH300" s="208"/>
      <c r="CLI300" s="208"/>
      <c r="CLJ300" s="208"/>
      <c r="CLK300" s="208"/>
      <c r="CLL300" s="208"/>
      <c r="CLM300" s="208"/>
      <c r="CLN300" s="208"/>
      <c r="CLO300" s="208"/>
      <c r="CLP300" s="208"/>
      <c r="CLQ300" s="208"/>
      <c r="CLR300" s="208"/>
      <c r="CLS300" s="208"/>
      <c r="CLT300" s="208"/>
      <c r="CLU300" s="208"/>
      <c r="CLV300" s="208"/>
      <c r="CLW300" s="208"/>
      <c r="CLX300" s="208"/>
      <c r="CLY300" s="208"/>
      <c r="CLZ300" s="208"/>
      <c r="CMA300" s="208"/>
      <c r="CMB300" s="208"/>
      <c r="CMC300" s="208"/>
      <c r="CMD300" s="208"/>
      <c r="CME300" s="208"/>
      <c r="CMF300" s="208"/>
      <c r="CMG300" s="208"/>
      <c r="CMH300" s="208"/>
      <c r="CMI300" s="208"/>
      <c r="CMJ300" s="208"/>
      <c r="CMK300" s="208"/>
      <c r="CML300" s="208"/>
      <c r="CMM300" s="208"/>
      <c r="CMN300" s="208"/>
      <c r="CMO300" s="208"/>
      <c r="CMP300" s="208"/>
      <c r="CMQ300" s="208"/>
      <c r="CMR300" s="208"/>
      <c r="CMS300" s="208"/>
      <c r="CMT300" s="208"/>
      <c r="CMU300" s="208"/>
      <c r="CMV300" s="208"/>
      <c r="CMW300" s="208"/>
      <c r="CMX300" s="208"/>
      <c r="CMY300" s="208"/>
      <c r="CMZ300" s="208"/>
      <c r="CNA300" s="208"/>
      <c r="CNB300" s="208"/>
      <c r="CNC300" s="208"/>
      <c r="CND300" s="208"/>
      <c r="CNE300" s="208"/>
      <c r="CNF300" s="208"/>
      <c r="CNG300" s="208"/>
      <c r="CNH300" s="208"/>
      <c r="CNI300" s="208"/>
      <c r="CNJ300" s="208"/>
      <c r="CNK300" s="208"/>
      <c r="CNL300" s="208"/>
      <c r="CNM300" s="208"/>
      <c r="CNN300" s="208"/>
      <c r="CNO300" s="208"/>
      <c r="CNP300" s="208"/>
      <c r="CNQ300" s="208"/>
      <c r="CNR300" s="208"/>
      <c r="CNS300" s="208"/>
      <c r="CNT300" s="208"/>
      <c r="CNU300" s="208"/>
      <c r="CNV300" s="208"/>
      <c r="CNW300" s="208"/>
      <c r="CNX300" s="208"/>
      <c r="CNY300" s="208"/>
      <c r="CNZ300" s="208"/>
      <c r="COA300" s="208"/>
      <c r="COB300" s="208"/>
      <c r="COC300" s="208"/>
      <c r="COD300" s="208"/>
      <c r="COE300" s="208"/>
      <c r="COF300" s="208"/>
      <c r="COG300" s="208"/>
      <c r="COH300" s="208"/>
      <c r="COI300" s="208"/>
      <c r="COJ300" s="208"/>
      <c r="COK300" s="208"/>
      <c r="COL300" s="208"/>
      <c r="COM300" s="208"/>
      <c r="CON300" s="208"/>
      <c r="COO300" s="208"/>
      <c r="COP300" s="208"/>
      <c r="COQ300" s="208"/>
      <c r="COR300" s="208"/>
      <c r="COS300" s="208"/>
      <c r="COT300" s="208"/>
      <c r="COU300" s="208"/>
      <c r="COV300" s="208"/>
      <c r="COW300" s="208"/>
      <c r="COX300" s="208"/>
      <c r="COY300" s="208"/>
      <c r="COZ300" s="208"/>
      <c r="CPA300" s="208"/>
      <c r="CPB300" s="208"/>
      <c r="CPC300" s="208"/>
      <c r="CPD300" s="208"/>
      <c r="CPE300" s="208"/>
      <c r="CPF300" s="208"/>
      <c r="CPG300" s="208"/>
      <c r="CPH300" s="208"/>
      <c r="CPI300" s="208"/>
      <c r="CPJ300" s="208"/>
      <c r="CPK300" s="208"/>
      <c r="CPL300" s="208"/>
      <c r="CPM300" s="208"/>
      <c r="CPN300" s="208"/>
      <c r="CPO300" s="208"/>
      <c r="CPP300" s="208"/>
      <c r="CPQ300" s="208"/>
      <c r="CPR300" s="208"/>
      <c r="CPS300" s="208"/>
      <c r="CPT300" s="208"/>
      <c r="CPU300" s="208"/>
      <c r="CPV300" s="208"/>
      <c r="CPW300" s="208"/>
      <c r="CPX300" s="208"/>
      <c r="CPY300" s="208"/>
      <c r="CPZ300" s="208"/>
      <c r="CQA300" s="208"/>
      <c r="CQB300" s="208"/>
      <c r="CQC300" s="208"/>
      <c r="CQD300" s="208"/>
      <c r="CQE300" s="208"/>
      <c r="CQF300" s="208"/>
      <c r="CQG300" s="208"/>
      <c r="CQH300" s="208"/>
      <c r="CQI300" s="208"/>
      <c r="CQJ300" s="208"/>
      <c r="CQK300" s="208"/>
      <c r="CQL300" s="208"/>
      <c r="CQM300" s="208"/>
      <c r="CQN300" s="208"/>
      <c r="CQO300" s="208"/>
      <c r="CQP300" s="208"/>
      <c r="CQQ300" s="208"/>
      <c r="CQR300" s="208"/>
      <c r="CQS300" s="208"/>
      <c r="CQT300" s="208"/>
      <c r="CQU300" s="208"/>
      <c r="CQV300" s="208"/>
      <c r="CQW300" s="208"/>
      <c r="CQX300" s="208"/>
      <c r="CQY300" s="208"/>
      <c r="CQZ300" s="208"/>
      <c r="CRA300" s="208"/>
      <c r="CRB300" s="208"/>
      <c r="CRC300" s="208"/>
      <c r="CRD300" s="208"/>
      <c r="CRE300" s="208"/>
      <c r="CRF300" s="208"/>
      <c r="CRG300" s="208"/>
      <c r="CRH300" s="208"/>
      <c r="CRI300" s="208"/>
      <c r="CRJ300" s="208"/>
      <c r="CRK300" s="208"/>
      <c r="CRL300" s="208"/>
      <c r="CRM300" s="208"/>
      <c r="CRN300" s="208"/>
      <c r="CRO300" s="208"/>
      <c r="CRP300" s="208"/>
      <c r="CRQ300" s="208"/>
      <c r="CRR300" s="208"/>
      <c r="CRS300" s="208"/>
      <c r="CRT300" s="208"/>
      <c r="CRU300" s="208"/>
      <c r="CRV300" s="208"/>
      <c r="CRW300" s="208"/>
      <c r="CRX300" s="208"/>
      <c r="CRY300" s="208"/>
      <c r="CRZ300" s="208"/>
      <c r="CSA300" s="208"/>
      <c r="CSB300" s="208"/>
      <c r="CSC300" s="208"/>
      <c r="CSD300" s="208"/>
      <c r="CSE300" s="208"/>
      <c r="CSF300" s="208"/>
      <c r="CSG300" s="208"/>
      <c r="CSH300" s="208"/>
      <c r="CSI300" s="208"/>
      <c r="CSJ300" s="208"/>
      <c r="CSK300" s="208"/>
      <c r="CSL300" s="208"/>
      <c r="CSM300" s="208"/>
      <c r="CSN300" s="208"/>
      <c r="CSO300" s="208"/>
      <c r="CSP300" s="208"/>
      <c r="CSQ300" s="208"/>
      <c r="CSR300" s="208"/>
      <c r="CSS300" s="208"/>
      <c r="CST300" s="208"/>
      <c r="CSU300" s="208"/>
      <c r="CSV300" s="208"/>
      <c r="CSW300" s="208"/>
      <c r="CSX300" s="208"/>
      <c r="CSY300" s="208"/>
      <c r="CSZ300" s="208"/>
      <c r="CTA300" s="208"/>
      <c r="CTB300" s="208"/>
      <c r="CTC300" s="208"/>
      <c r="CTD300" s="208"/>
      <c r="CTE300" s="208"/>
      <c r="CTF300" s="208"/>
      <c r="CTG300" s="208"/>
      <c r="CTH300" s="208"/>
      <c r="CTI300" s="208"/>
      <c r="CTJ300" s="208"/>
      <c r="CTK300" s="208"/>
      <c r="CTL300" s="208"/>
      <c r="CTM300" s="208"/>
      <c r="CTN300" s="208"/>
      <c r="CTO300" s="208"/>
      <c r="CTP300" s="208"/>
      <c r="CTQ300" s="208"/>
      <c r="CTR300" s="208"/>
      <c r="CTS300" s="208"/>
      <c r="CTT300" s="208"/>
      <c r="CTU300" s="208"/>
      <c r="CTV300" s="208"/>
      <c r="CTW300" s="208"/>
      <c r="CTX300" s="208"/>
      <c r="CTY300" s="208"/>
      <c r="CTZ300" s="208"/>
      <c r="CUA300" s="208"/>
      <c r="CUB300" s="208"/>
      <c r="CUC300" s="208"/>
      <c r="CUD300" s="208"/>
      <c r="CUE300" s="208"/>
      <c r="CUF300" s="208"/>
      <c r="CUG300" s="208"/>
      <c r="CUH300" s="208"/>
      <c r="CUI300" s="208"/>
      <c r="CUJ300" s="208"/>
      <c r="CUK300" s="208"/>
      <c r="CUL300" s="208"/>
      <c r="CUM300" s="208"/>
      <c r="CUN300" s="208"/>
      <c r="CUO300" s="208"/>
      <c r="CUP300" s="208"/>
      <c r="CUQ300" s="208"/>
      <c r="CUR300" s="208"/>
      <c r="CUS300" s="208"/>
      <c r="CUT300" s="208"/>
      <c r="CUU300" s="208"/>
      <c r="CUV300" s="208"/>
      <c r="CUW300" s="208"/>
      <c r="CUX300" s="208"/>
      <c r="CUY300" s="208"/>
      <c r="CUZ300" s="208"/>
      <c r="CVA300" s="208"/>
      <c r="CVB300" s="208"/>
      <c r="CVC300" s="208"/>
      <c r="CVD300" s="208"/>
      <c r="CVE300" s="208"/>
      <c r="CVF300" s="208"/>
      <c r="CVG300" s="208"/>
      <c r="CVH300" s="208"/>
      <c r="CVI300" s="208"/>
      <c r="CVJ300" s="208"/>
      <c r="CVK300" s="208"/>
      <c r="CVL300" s="208"/>
      <c r="CVM300" s="208"/>
      <c r="CVN300" s="208"/>
      <c r="CVO300" s="208"/>
      <c r="CVP300" s="208"/>
      <c r="CVQ300" s="208"/>
      <c r="CVR300" s="208"/>
      <c r="CVS300" s="208"/>
      <c r="CVT300" s="208"/>
      <c r="CVU300" s="208"/>
      <c r="CVV300" s="208"/>
      <c r="CVW300" s="208"/>
      <c r="CVX300" s="208"/>
      <c r="CVY300" s="208"/>
      <c r="CVZ300" s="208"/>
      <c r="CWA300" s="208"/>
      <c r="CWB300" s="208"/>
      <c r="CWC300" s="208"/>
      <c r="CWD300" s="208"/>
      <c r="CWE300" s="208"/>
      <c r="CWF300" s="208"/>
      <c r="CWG300" s="208"/>
      <c r="CWH300" s="208"/>
      <c r="CWI300" s="208"/>
      <c r="CWJ300" s="208"/>
      <c r="CWK300" s="208"/>
      <c r="CWL300" s="208"/>
      <c r="CWM300" s="208"/>
      <c r="CWN300" s="208"/>
      <c r="CWO300" s="208"/>
      <c r="CWP300" s="208"/>
      <c r="CWQ300" s="208"/>
      <c r="CWR300" s="208"/>
      <c r="CWS300" s="208"/>
      <c r="CWT300" s="208"/>
      <c r="CWU300" s="208"/>
      <c r="CWV300" s="208"/>
      <c r="CWW300" s="208"/>
      <c r="CWX300" s="208"/>
      <c r="CWY300" s="208"/>
      <c r="CWZ300" s="208"/>
      <c r="CXA300" s="208"/>
      <c r="CXB300" s="208"/>
      <c r="CXC300" s="208"/>
      <c r="CXD300" s="208"/>
      <c r="CXE300" s="208"/>
      <c r="CXF300" s="208"/>
      <c r="CXG300" s="208"/>
      <c r="CXH300" s="208"/>
      <c r="CXI300" s="208"/>
      <c r="CXJ300" s="208"/>
      <c r="CXK300" s="208"/>
      <c r="CXL300" s="208"/>
      <c r="CXM300" s="208"/>
      <c r="CXN300" s="208"/>
      <c r="CXO300" s="208"/>
      <c r="CXP300" s="208"/>
      <c r="CXQ300" s="208"/>
      <c r="CXR300" s="208"/>
      <c r="CXS300" s="208"/>
      <c r="CXT300" s="208"/>
      <c r="CXU300" s="208"/>
      <c r="CXV300" s="208"/>
      <c r="CXW300" s="208"/>
      <c r="CXX300" s="208"/>
      <c r="CXY300" s="208"/>
      <c r="CXZ300" s="208"/>
      <c r="CYA300" s="208"/>
      <c r="CYB300" s="208"/>
      <c r="CYC300" s="208"/>
      <c r="CYD300" s="208"/>
      <c r="CYE300" s="208"/>
      <c r="CYF300" s="208"/>
      <c r="CYG300" s="208"/>
      <c r="CYH300" s="208"/>
      <c r="CYI300" s="208"/>
      <c r="CYJ300" s="208"/>
      <c r="CYK300" s="208"/>
      <c r="CYL300" s="208"/>
      <c r="CYM300" s="208"/>
      <c r="CYN300" s="208"/>
      <c r="CYO300" s="208"/>
      <c r="CYP300" s="208"/>
      <c r="CYQ300" s="208"/>
      <c r="CYR300" s="208"/>
      <c r="CYS300" s="208"/>
      <c r="CYT300" s="208"/>
      <c r="CYU300" s="208"/>
      <c r="CYV300" s="208"/>
      <c r="CYW300" s="208"/>
      <c r="CYX300" s="208"/>
      <c r="CYY300" s="208"/>
      <c r="CYZ300" s="208"/>
      <c r="CZA300" s="208"/>
      <c r="CZB300" s="208"/>
      <c r="CZC300" s="208"/>
      <c r="CZD300" s="208"/>
      <c r="CZE300" s="208"/>
      <c r="CZF300" s="208"/>
      <c r="CZG300" s="208"/>
      <c r="CZH300" s="208"/>
      <c r="CZI300" s="208"/>
      <c r="CZJ300" s="208"/>
      <c r="CZK300" s="208"/>
      <c r="CZL300" s="208"/>
      <c r="CZM300" s="208"/>
      <c r="CZN300" s="208"/>
      <c r="CZO300" s="208"/>
      <c r="CZP300" s="208"/>
      <c r="CZQ300" s="208"/>
      <c r="CZR300" s="208"/>
      <c r="CZS300" s="208"/>
      <c r="CZT300" s="208"/>
      <c r="CZU300" s="208"/>
      <c r="CZV300" s="208"/>
      <c r="CZW300" s="208"/>
      <c r="CZX300" s="208"/>
      <c r="CZY300" s="208"/>
      <c r="CZZ300" s="208"/>
      <c r="DAA300" s="208"/>
      <c r="DAB300" s="208"/>
      <c r="DAC300" s="208"/>
      <c r="DAD300" s="208"/>
      <c r="DAE300" s="208"/>
      <c r="DAF300" s="208"/>
      <c r="DAG300" s="208"/>
      <c r="DAH300" s="208"/>
      <c r="DAI300" s="208"/>
      <c r="DAJ300" s="208"/>
      <c r="DAK300" s="208"/>
      <c r="DAL300" s="208"/>
      <c r="DAM300" s="208"/>
      <c r="DAN300" s="208"/>
      <c r="DAO300" s="208"/>
      <c r="DAP300" s="208"/>
      <c r="DAQ300" s="208"/>
      <c r="DAR300" s="208"/>
      <c r="DAS300" s="208"/>
      <c r="DAT300" s="208"/>
      <c r="DAU300" s="208"/>
      <c r="DAV300" s="208"/>
      <c r="DAW300" s="208"/>
      <c r="DAX300" s="208"/>
      <c r="DAY300" s="208"/>
      <c r="DAZ300" s="208"/>
      <c r="DBA300" s="208"/>
      <c r="DBB300" s="208"/>
      <c r="DBC300" s="208"/>
      <c r="DBD300" s="208"/>
      <c r="DBE300" s="208"/>
      <c r="DBF300" s="208"/>
      <c r="DBG300" s="208"/>
      <c r="DBH300" s="208"/>
      <c r="DBI300" s="208"/>
      <c r="DBJ300" s="208"/>
      <c r="DBK300" s="208"/>
      <c r="DBL300" s="208"/>
      <c r="DBM300" s="208"/>
      <c r="DBN300" s="208"/>
      <c r="DBO300" s="208"/>
      <c r="DBP300" s="208"/>
      <c r="DBQ300" s="208"/>
      <c r="DBR300" s="208"/>
      <c r="DBS300" s="208"/>
      <c r="DBT300" s="208"/>
      <c r="DBU300" s="208"/>
      <c r="DBV300" s="208"/>
      <c r="DBW300" s="208"/>
      <c r="DBX300" s="208"/>
      <c r="DBY300" s="208"/>
      <c r="DBZ300" s="208"/>
      <c r="DCA300" s="208"/>
      <c r="DCB300" s="208"/>
      <c r="DCC300" s="208"/>
      <c r="DCD300" s="208"/>
      <c r="DCE300" s="208"/>
      <c r="DCF300" s="208"/>
      <c r="DCG300" s="208"/>
      <c r="DCH300" s="208"/>
      <c r="DCI300" s="208"/>
      <c r="DCJ300" s="208"/>
      <c r="DCK300" s="208"/>
      <c r="DCL300" s="208"/>
      <c r="DCM300" s="208"/>
      <c r="DCN300" s="208"/>
      <c r="DCO300" s="208"/>
      <c r="DCP300" s="208"/>
      <c r="DCQ300" s="208"/>
      <c r="DCR300" s="208"/>
      <c r="DCS300" s="208"/>
      <c r="DCT300" s="208"/>
      <c r="DCU300" s="208"/>
      <c r="DCV300" s="208"/>
      <c r="DCW300" s="208"/>
      <c r="DCX300" s="208"/>
      <c r="DCY300" s="208"/>
      <c r="DCZ300" s="208"/>
      <c r="DDA300" s="208"/>
      <c r="DDB300" s="208"/>
      <c r="DDC300" s="208"/>
      <c r="DDD300" s="208"/>
      <c r="DDE300" s="208"/>
      <c r="DDF300" s="208"/>
      <c r="DDG300" s="208"/>
      <c r="DDH300" s="208"/>
      <c r="DDI300" s="208"/>
      <c r="DDJ300" s="208"/>
      <c r="DDK300" s="208"/>
      <c r="DDL300" s="208"/>
      <c r="DDM300" s="208"/>
      <c r="DDN300" s="208"/>
      <c r="DDO300" s="208"/>
      <c r="DDP300" s="208"/>
      <c r="DDQ300" s="208"/>
      <c r="DDR300" s="208"/>
      <c r="DDS300" s="208"/>
      <c r="DDT300" s="208"/>
      <c r="DDU300" s="208"/>
      <c r="DDV300" s="208"/>
      <c r="DDW300" s="208"/>
      <c r="DDX300" s="208"/>
      <c r="DDY300" s="208"/>
      <c r="DDZ300" s="208"/>
      <c r="DEA300" s="208"/>
      <c r="DEB300" s="208"/>
      <c r="DEC300" s="208"/>
      <c r="DED300" s="208"/>
      <c r="DEE300" s="208"/>
      <c r="DEF300" s="208"/>
      <c r="DEG300" s="208"/>
      <c r="DEH300" s="208"/>
      <c r="DEI300" s="208"/>
      <c r="DEJ300" s="208"/>
      <c r="DEK300" s="208"/>
      <c r="DEL300" s="208"/>
      <c r="DEM300" s="208"/>
      <c r="DEN300" s="208"/>
      <c r="DEO300" s="208"/>
      <c r="DEP300" s="208"/>
      <c r="DEQ300" s="208"/>
      <c r="DER300" s="208"/>
      <c r="DES300" s="208"/>
      <c r="DET300" s="208"/>
      <c r="DEU300" s="208"/>
      <c r="DEV300" s="208"/>
      <c r="DEW300" s="208"/>
      <c r="DEX300" s="208"/>
      <c r="DEY300" s="208"/>
      <c r="DEZ300" s="208"/>
      <c r="DFA300" s="208"/>
      <c r="DFB300" s="208"/>
      <c r="DFC300" s="208"/>
      <c r="DFD300" s="208"/>
      <c r="DFE300" s="208"/>
      <c r="DFF300" s="208"/>
      <c r="DFG300" s="208"/>
      <c r="DFH300" s="208"/>
      <c r="DFI300" s="208"/>
      <c r="DFJ300" s="208"/>
      <c r="DFK300" s="208"/>
      <c r="DFL300" s="208"/>
      <c r="DFM300" s="208"/>
      <c r="DFN300" s="208"/>
      <c r="DFO300" s="208"/>
      <c r="DFP300" s="208"/>
      <c r="DFQ300" s="208"/>
      <c r="DFR300" s="208"/>
      <c r="DFS300" s="208"/>
      <c r="DFT300" s="208"/>
      <c r="DFU300" s="208"/>
      <c r="DFV300" s="208"/>
      <c r="DFW300" s="208"/>
      <c r="DFX300" s="208"/>
      <c r="DFY300" s="208"/>
      <c r="DFZ300" s="208"/>
      <c r="DGA300" s="208"/>
      <c r="DGB300" s="208"/>
      <c r="DGC300" s="208"/>
      <c r="DGD300" s="208"/>
      <c r="DGE300" s="208"/>
      <c r="DGF300" s="208"/>
      <c r="DGG300" s="208"/>
      <c r="DGH300" s="208"/>
      <c r="DGI300" s="208"/>
      <c r="DGJ300" s="208"/>
      <c r="DGK300" s="208"/>
      <c r="DGL300" s="208"/>
      <c r="DGM300" s="208"/>
      <c r="DGN300" s="208"/>
      <c r="DGO300" s="208"/>
      <c r="DGP300" s="208"/>
      <c r="DGQ300" s="208"/>
      <c r="DGR300" s="208"/>
      <c r="DGS300" s="208"/>
      <c r="DGT300" s="208"/>
      <c r="DGU300" s="208"/>
      <c r="DGV300" s="208"/>
      <c r="DGW300" s="208"/>
      <c r="DGX300" s="208"/>
      <c r="DGY300" s="208"/>
      <c r="DGZ300" s="208"/>
      <c r="DHA300" s="208"/>
      <c r="DHB300" s="208"/>
      <c r="DHC300" s="208"/>
      <c r="DHD300" s="208"/>
      <c r="DHE300" s="208"/>
      <c r="DHF300" s="208"/>
      <c r="DHG300" s="208"/>
      <c r="DHH300" s="208"/>
      <c r="DHI300" s="208"/>
      <c r="DHJ300" s="208"/>
      <c r="DHK300" s="208"/>
      <c r="DHL300" s="208"/>
      <c r="DHM300" s="208"/>
      <c r="DHN300" s="208"/>
      <c r="DHO300" s="208"/>
      <c r="DHP300" s="208"/>
      <c r="DHQ300" s="208"/>
      <c r="DHR300" s="208"/>
      <c r="DHS300" s="208"/>
      <c r="DHT300" s="208"/>
      <c r="DHU300" s="208"/>
      <c r="DHV300" s="208"/>
      <c r="DHW300" s="208"/>
      <c r="DHX300" s="208"/>
      <c r="DHY300" s="208"/>
      <c r="DHZ300" s="208"/>
      <c r="DIA300" s="208"/>
      <c r="DIB300" s="208"/>
      <c r="DIC300" s="208"/>
      <c r="DID300" s="208"/>
      <c r="DIE300" s="208"/>
      <c r="DIF300" s="208"/>
      <c r="DIG300" s="208"/>
      <c r="DIH300" s="208"/>
      <c r="DII300" s="208"/>
      <c r="DIJ300" s="208"/>
      <c r="DIK300" s="208"/>
      <c r="DIL300" s="208"/>
      <c r="DIM300" s="208"/>
      <c r="DIN300" s="208"/>
      <c r="DIO300" s="208"/>
      <c r="DIP300" s="208"/>
      <c r="DIQ300" s="208"/>
      <c r="DIR300" s="208"/>
      <c r="DIS300" s="208"/>
      <c r="DIT300" s="208"/>
      <c r="DIU300" s="208"/>
      <c r="DIV300" s="208"/>
      <c r="DIW300" s="208"/>
      <c r="DIX300" s="208"/>
      <c r="DIY300" s="208"/>
      <c r="DIZ300" s="208"/>
      <c r="DJA300" s="208"/>
      <c r="DJB300" s="208"/>
      <c r="DJC300" s="208"/>
      <c r="DJD300" s="208"/>
      <c r="DJE300" s="208"/>
      <c r="DJF300" s="208"/>
      <c r="DJG300" s="208"/>
      <c r="DJH300" s="208"/>
      <c r="DJI300" s="208"/>
      <c r="DJJ300" s="208"/>
      <c r="DJK300" s="208"/>
      <c r="DJL300" s="208"/>
      <c r="DJM300" s="208"/>
      <c r="DJN300" s="208"/>
      <c r="DJO300" s="208"/>
      <c r="DJP300" s="208"/>
      <c r="DJQ300" s="208"/>
      <c r="DJR300" s="208"/>
      <c r="DJS300" s="208"/>
      <c r="DJT300" s="208"/>
      <c r="DJU300" s="208"/>
      <c r="DJV300" s="208"/>
      <c r="DJW300" s="208"/>
      <c r="DJX300" s="208"/>
      <c r="DJY300" s="208"/>
      <c r="DJZ300" s="208"/>
      <c r="DKA300" s="208"/>
      <c r="DKB300" s="208"/>
      <c r="DKC300" s="208"/>
      <c r="DKD300" s="208"/>
      <c r="DKE300" s="208"/>
      <c r="DKF300" s="208"/>
      <c r="DKG300" s="208"/>
      <c r="DKH300" s="208"/>
      <c r="DKI300" s="208"/>
      <c r="DKJ300" s="208"/>
      <c r="DKK300" s="208"/>
      <c r="DKL300" s="208"/>
      <c r="DKM300" s="208"/>
      <c r="DKN300" s="208"/>
      <c r="DKO300" s="208"/>
      <c r="DKP300" s="208"/>
      <c r="DKQ300" s="208"/>
      <c r="DKR300" s="208"/>
      <c r="DKS300" s="208"/>
      <c r="DKT300" s="208"/>
      <c r="DKU300" s="208"/>
      <c r="DKV300" s="208"/>
      <c r="DKW300" s="208"/>
      <c r="DKX300" s="208"/>
      <c r="DKY300" s="208"/>
      <c r="DKZ300" s="208"/>
      <c r="DLA300" s="208"/>
      <c r="DLB300" s="208"/>
      <c r="DLC300" s="208"/>
      <c r="DLD300" s="208"/>
      <c r="DLE300" s="208"/>
      <c r="DLF300" s="208"/>
      <c r="DLG300" s="208"/>
      <c r="DLH300" s="208"/>
      <c r="DLI300" s="208"/>
      <c r="DLJ300" s="208"/>
      <c r="DLK300" s="208"/>
      <c r="DLL300" s="208"/>
      <c r="DLM300" s="208"/>
      <c r="DLN300" s="208"/>
      <c r="DLO300" s="208"/>
      <c r="DLP300" s="208"/>
      <c r="DLQ300" s="208"/>
      <c r="DLR300" s="208"/>
      <c r="DLS300" s="208"/>
      <c r="DLT300" s="208"/>
      <c r="DLU300" s="208"/>
      <c r="DLV300" s="208"/>
      <c r="DLW300" s="208"/>
      <c r="DLX300" s="208"/>
      <c r="DLY300" s="208"/>
      <c r="DLZ300" s="208"/>
      <c r="DMA300" s="208"/>
      <c r="DMB300" s="208"/>
      <c r="DMC300" s="208"/>
      <c r="DMD300" s="208"/>
      <c r="DME300" s="208"/>
      <c r="DMF300" s="208"/>
      <c r="DMG300" s="208"/>
      <c r="DMH300" s="208"/>
      <c r="DMI300" s="208"/>
      <c r="DMJ300" s="208"/>
      <c r="DMK300" s="208"/>
      <c r="DML300" s="208"/>
      <c r="DMM300" s="208"/>
      <c r="DMN300" s="208"/>
      <c r="DMO300" s="208"/>
      <c r="DMP300" s="208"/>
      <c r="DMQ300" s="208"/>
      <c r="DMR300" s="208"/>
      <c r="DMS300" s="208"/>
      <c r="DMT300" s="208"/>
      <c r="DMU300" s="208"/>
      <c r="DMV300" s="208"/>
      <c r="DMW300" s="208"/>
      <c r="DMX300" s="208"/>
      <c r="DMY300" s="208"/>
      <c r="DMZ300" s="208"/>
      <c r="DNA300" s="208"/>
      <c r="DNB300" s="208"/>
      <c r="DNC300" s="208"/>
      <c r="DND300" s="208"/>
      <c r="DNE300" s="208"/>
      <c r="DNF300" s="208"/>
      <c r="DNG300" s="208"/>
      <c r="DNH300" s="208"/>
      <c r="DNI300" s="208"/>
      <c r="DNJ300" s="208"/>
      <c r="DNK300" s="208"/>
      <c r="DNL300" s="208"/>
      <c r="DNM300" s="208"/>
      <c r="DNN300" s="208"/>
      <c r="DNO300" s="208"/>
      <c r="DNP300" s="208"/>
      <c r="DNQ300" s="208"/>
      <c r="DNR300" s="208"/>
      <c r="DNS300" s="208"/>
      <c r="DNT300" s="208"/>
      <c r="DNU300" s="208"/>
      <c r="DNV300" s="208"/>
      <c r="DNW300" s="208"/>
      <c r="DNX300" s="208"/>
      <c r="DNY300" s="208"/>
      <c r="DNZ300" s="208"/>
      <c r="DOA300" s="208"/>
      <c r="DOB300" s="208"/>
      <c r="DOC300" s="208"/>
      <c r="DOD300" s="208"/>
      <c r="DOE300" s="208"/>
      <c r="DOF300" s="208"/>
      <c r="DOG300" s="208"/>
      <c r="DOH300" s="208"/>
      <c r="DOI300" s="208"/>
      <c r="DOJ300" s="208"/>
      <c r="DOK300" s="208"/>
      <c r="DOL300" s="208"/>
      <c r="DOM300" s="208"/>
      <c r="DON300" s="208"/>
      <c r="DOO300" s="208"/>
      <c r="DOP300" s="208"/>
      <c r="DOQ300" s="208"/>
      <c r="DOR300" s="208"/>
      <c r="DOS300" s="208"/>
      <c r="DOT300" s="208"/>
      <c r="DOU300" s="208"/>
      <c r="DOV300" s="208"/>
      <c r="DOW300" s="208"/>
      <c r="DOX300" s="208"/>
      <c r="DOY300" s="208"/>
      <c r="DOZ300" s="208"/>
      <c r="DPA300" s="208"/>
      <c r="DPB300" s="208"/>
      <c r="DPC300" s="208"/>
      <c r="DPD300" s="208"/>
      <c r="DPE300" s="208"/>
      <c r="DPF300" s="208"/>
      <c r="DPG300" s="208"/>
      <c r="DPH300" s="208"/>
      <c r="DPI300" s="208"/>
      <c r="DPJ300" s="208"/>
      <c r="DPK300" s="208"/>
      <c r="DPL300" s="208"/>
      <c r="DPM300" s="208"/>
      <c r="DPN300" s="208"/>
      <c r="DPO300" s="208"/>
      <c r="DPP300" s="208"/>
      <c r="DPQ300" s="208"/>
      <c r="DPR300" s="208"/>
      <c r="DPS300" s="208"/>
      <c r="DPT300" s="208"/>
      <c r="DPU300" s="208"/>
      <c r="DPV300" s="208"/>
      <c r="DPW300" s="208"/>
      <c r="DPX300" s="208"/>
      <c r="DPY300" s="208"/>
      <c r="DPZ300" s="208"/>
      <c r="DQA300" s="208"/>
      <c r="DQB300" s="208"/>
      <c r="DQC300" s="208"/>
      <c r="DQD300" s="208"/>
      <c r="DQE300" s="208"/>
      <c r="DQF300" s="208"/>
      <c r="DQG300" s="208"/>
      <c r="DQH300" s="208"/>
      <c r="DQI300" s="208"/>
      <c r="DQJ300" s="208"/>
      <c r="DQK300" s="208"/>
      <c r="DQL300" s="208"/>
      <c r="DQM300" s="208"/>
      <c r="DQN300" s="208"/>
      <c r="DQO300" s="208"/>
      <c r="DQP300" s="208"/>
      <c r="DQQ300" s="208"/>
      <c r="DQR300" s="208"/>
      <c r="DQS300" s="208"/>
      <c r="DQT300" s="208"/>
      <c r="DQU300" s="208"/>
      <c r="DQV300" s="208"/>
      <c r="DQW300" s="208"/>
      <c r="DQX300" s="208"/>
      <c r="DQY300" s="208"/>
      <c r="DQZ300" s="208"/>
      <c r="DRA300" s="208"/>
      <c r="DRB300" s="208"/>
      <c r="DRC300" s="208"/>
      <c r="DRD300" s="208"/>
      <c r="DRE300" s="208"/>
      <c r="DRF300" s="208"/>
      <c r="DRG300" s="208"/>
      <c r="DRH300" s="208"/>
      <c r="DRI300" s="208"/>
      <c r="DRJ300" s="208"/>
      <c r="DRK300" s="208"/>
      <c r="DRL300" s="208"/>
      <c r="DRM300" s="208"/>
      <c r="DRN300" s="208"/>
      <c r="DRO300" s="208"/>
      <c r="DRP300" s="208"/>
      <c r="DRQ300" s="208"/>
      <c r="DRR300" s="208"/>
      <c r="DRS300" s="208"/>
      <c r="DRT300" s="208"/>
      <c r="DRU300" s="208"/>
      <c r="DRV300" s="208"/>
      <c r="DRW300" s="208"/>
      <c r="DRX300" s="208"/>
      <c r="DRY300" s="208"/>
      <c r="DRZ300" s="208"/>
      <c r="DSA300" s="208"/>
      <c r="DSB300" s="208"/>
      <c r="DSC300" s="208"/>
      <c r="DSD300" s="208"/>
      <c r="DSE300" s="208"/>
      <c r="DSF300" s="208"/>
      <c r="DSG300" s="208"/>
      <c r="DSH300" s="208"/>
      <c r="DSI300" s="208"/>
      <c r="DSJ300" s="208"/>
      <c r="DSK300" s="208"/>
      <c r="DSL300" s="208"/>
      <c r="DSM300" s="208"/>
      <c r="DSN300" s="208"/>
      <c r="DSO300" s="208"/>
      <c r="DSP300" s="208"/>
      <c r="DSQ300" s="208"/>
      <c r="DSR300" s="208"/>
      <c r="DSS300" s="208"/>
      <c r="DST300" s="208"/>
      <c r="DSU300" s="208"/>
      <c r="DSV300" s="208"/>
      <c r="DSW300" s="208"/>
      <c r="DSX300" s="208"/>
      <c r="DSY300" s="208"/>
      <c r="DSZ300" s="208"/>
      <c r="DTA300" s="208"/>
      <c r="DTB300" s="208"/>
      <c r="DTC300" s="208"/>
      <c r="DTD300" s="208"/>
      <c r="DTE300" s="208"/>
      <c r="DTF300" s="208"/>
      <c r="DTG300" s="208"/>
      <c r="DTH300" s="208"/>
      <c r="DTI300" s="208"/>
      <c r="DTJ300" s="208"/>
      <c r="DTK300" s="208"/>
      <c r="DTL300" s="208"/>
      <c r="DTM300" s="208"/>
      <c r="DTN300" s="208"/>
      <c r="DTO300" s="208"/>
      <c r="DTP300" s="208"/>
      <c r="DTQ300" s="208"/>
      <c r="DTR300" s="208"/>
      <c r="DTS300" s="208"/>
      <c r="DTT300" s="208"/>
      <c r="DTU300" s="208"/>
      <c r="DTV300" s="208"/>
      <c r="DTW300" s="208"/>
      <c r="DTX300" s="208"/>
      <c r="DTY300" s="208"/>
      <c r="DTZ300" s="208"/>
      <c r="DUA300" s="208"/>
      <c r="DUB300" s="208"/>
      <c r="DUC300" s="208"/>
      <c r="DUD300" s="208"/>
      <c r="DUE300" s="208"/>
      <c r="DUF300" s="208"/>
      <c r="DUG300" s="208"/>
      <c r="DUH300" s="208"/>
      <c r="DUI300" s="208"/>
      <c r="DUJ300" s="208"/>
      <c r="DUK300" s="208"/>
      <c r="DUL300" s="208"/>
      <c r="DUM300" s="208"/>
      <c r="DUN300" s="208"/>
      <c r="DUO300" s="208"/>
      <c r="DUP300" s="208"/>
      <c r="DUQ300" s="208"/>
      <c r="DUR300" s="208"/>
      <c r="DUS300" s="208"/>
      <c r="DUT300" s="208"/>
      <c r="DUU300" s="208"/>
      <c r="DUV300" s="208"/>
      <c r="DUW300" s="208"/>
      <c r="DUX300" s="208"/>
      <c r="DUY300" s="208"/>
      <c r="DUZ300" s="208"/>
      <c r="DVA300" s="208"/>
      <c r="DVB300" s="208"/>
      <c r="DVC300" s="208"/>
      <c r="DVD300" s="208"/>
      <c r="DVE300" s="208"/>
      <c r="DVF300" s="208"/>
      <c r="DVG300" s="208"/>
      <c r="DVH300" s="208"/>
      <c r="DVI300" s="208"/>
      <c r="DVJ300" s="208"/>
      <c r="DVK300" s="208"/>
      <c r="DVL300" s="208"/>
      <c r="DVM300" s="208"/>
      <c r="DVN300" s="208"/>
      <c r="DVO300" s="208"/>
      <c r="DVP300" s="208"/>
      <c r="DVQ300" s="208"/>
      <c r="DVR300" s="208"/>
      <c r="DVS300" s="208"/>
      <c r="DVT300" s="208"/>
      <c r="DVU300" s="208"/>
      <c r="DVV300" s="208"/>
      <c r="DVW300" s="208"/>
      <c r="DVX300" s="208"/>
      <c r="DVY300" s="208"/>
      <c r="DVZ300" s="208"/>
      <c r="DWA300" s="208"/>
      <c r="DWB300" s="208"/>
      <c r="DWC300" s="208"/>
      <c r="DWD300" s="208"/>
      <c r="DWE300" s="208"/>
      <c r="DWF300" s="208"/>
      <c r="DWG300" s="208"/>
      <c r="DWH300" s="208"/>
      <c r="DWI300" s="208"/>
      <c r="DWJ300" s="208"/>
      <c r="DWK300" s="208"/>
      <c r="DWL300" s="208"/>
      <c r="DWM300" s="208"/>
      <c r="DWN300" s="208"/>
      <c r="DWO300" s="208"/>
      <c r="DWP300" s="208"/>
      <c r="DWQ300" s="208"/>
      <c r="DWR300" s="208"/>
      <c r="DWS300" s="208"/>
      <c r="DWT300" s="208"/>
      <c r="DWU300" s="208"/>
      <c r="DWV300" s="208"/>
      <c r="DWW300" s="208"/>
      <c r="DWX300" s="208"/>
      <c r="DWY300" s="208"/>
      <c r="DWZ300" s="208"/>
      <c r="DXA300" s="208"/>
      <c r="DXB300" s="208"/>
      <c r="DXC300" s="208"/>
      <c r="DXD300" s="208"/>
      <c r="DXE300" s="208"/>
      <c r="DXF300" s="208"/>
      <c r="DXG300" s="208"/>
      <c r="DXH300" s="208"/>
      <c r="DXI300" s="208"/>
      <c r="DXJ300" s="208"/>
      <c r="DXK300" s="208"/>
      <c r="DXL300" s="208"/>
      <c r="DXM300" s="208"/>
      <c r="DXN300" s="208"/>
      <c r="DXO300" s="208"/>
      <c r="DXP300" s="208"/>
      <c r="DXQ300" s="208"/>
      <c r="DXR300" s="208"/>
      <c r="DXS300" s="208"/>
      <c r="DXT300" s="208"/>
      <c r="DXU300" s="208"/>
      <c r="DXV300" s="208"/>
      <c r="DXW300" s="208"/>
      <c r="DXX300" s="208"/>
      <c r="DXY300" s="208"/>
      <c r="DXZ300" s="208"/>
      <c r="DYA300" s="208"/>
      <c r="DYB300" s="208"/>
      <c r="DYC300" s="208"/>
      <c r="DYD300" s="208"/>
      <c r="DYE300" s="208"/>
      <c r="DYF300" s="208"/>
      <c r="DYG300" s="208"/>
      <c r="DYH300" s="208"/>
      <c r="DYI300" s="208"/>
      <c r="DYJ300" s="208"/>
      <c r="DYK300" s="208"/>
      <c r="DYL300" s="208"/>
      <c r="DYM300" s="208"/>
      <c r="DYN300" s="208"/>
      <c r="DYO300" s="208"/>
      <c r="DYP300" s="208"/>
      <c r="DYQ300" s="208"/>
      <c r="DYR300" s="208"/>
      <c r="DYS300" s="208"/>
      <c r="DYT300" s="208"/>
      <c r="DYU300" s="208"/>
      <c r="DYV300" s="208"/>
      <c r="DYW300" s="208"/>
      <c r="DYX300" s="208"/>
      <c r="DYY300" s="208"/>
      <c r="DYZ300" s="208"/>
      <c r="DZA300" s="208"/>
      <c r="DZB300" s="208"/>
      <c r="DZC300" s="208"/>
      <c r="DZD300" s="208"/>
      <c r="DZE300" s="208"/>
      <c r="DZF300" s="208"/>
      <c r="DZG300" s="208"/>
      <c r="DZH300" s="208"/>
      <c r="DZI300" s="208"/>
      <c r="DZJ300" s="208"/>
      <c r="DZK300" s="208"/>
      <c r="DZL300" s="208"/>
      <c r="DZM300" s="208"/>
      <c r="DZN300" s="208"/>
      <c r="DZO300" s="208"/>
      <c r="DZP300" s="208"/>
      <c r="DZQ300" s="208"/>
      <c r="DZR300" s="208"/>
      <c r="DZS300" s="208"/>
      <c r="DZT300" s="208"/>
      <c r="DZU300" s="208"/>
      <c r="DZV300" s="208"/>
      <c r="DZW300" s="208"/>
      <c r="DZX300" s="208"/>
      <c r="DZY300" s="208"/>
      <c r="DZZ300" s="208"/>
      <c r="EAA300" s="208"/>
      <c r="EAB300" s="208"/>
      <c r="EAC300" s="208"/>
      <c r="EAD300" s="208"/>
      <c r="EAE300" s="208"/>
      <c r="EAF300" s="208"/>
      <c r="EAG300" s="208"/>
      <c r="EAH300" s="208"/>
      <c r="EAI300" s="208"/>
      <c r="EAJ300" s="208"/>
      <c r="EAK300" s="208"/>
      <c r="EAL300" s="208"/>
      <c r="EAM300" s="208"/>
      <c r="EAN300" s="208"/>
      <c r="EAO300" s="208"/>
      <c r="EAP300" s="208"/>
      <c r="EAQ300" s="208"/>
      <c r="EAR300" s="208"/>
      <c r="EAS300" s="208"/>
      <c r="EAT300" s="208"/>
      <c r="EAU300" s="208"/>
      <c r="EAV300" s="208"/>
      <c r="EAW300" s="208"/>
      <c r="EAX300" s="208"/>
      <c r="EAY300" s="208"/>
      <c r="EAZ300" s="208"/>
      <c r="EBA300" s="208"/>
      <c r="EBB300" s="208"/>
      <c r="EBC300" s="208"/>
      <c r="EBD300" s="208"/>
      <c r="EBE300" s="208"/>
      <c r="EBF300" s="208"/>
      <c r="EBG300" s="208"/>
      <c r="EBH300" s="208"/>
      <c r="EBI300" s="208"/>
      <c r="EBJ300" s="208"/>
      <c r="EBK300" s="208"/>
      <c r="EBL300" s="208"/>
      <c r="EBM300" s="208"/>
      <c r="EBN300" s="208"/>
      <c r="EBO300" s="208"/>
      <c r="EBP300" s="208"/>
      <c r="EBQ300" s="208"/>
      <c r="EBR300" s="208"/>
      <c r="EBS300" s="208"/>
      <c r="EBT300" s="208"/>
      <c r="EBU300" s="208"/>
      <c r="EBV300" s="208"/>
      <c r="EBW300" s="208"/>
      <c r="EBX300" s="208"/>
      <c r="EBY300" s="208"/>
      <c r="EBZ300" s="208"/>
      <c r="ECA300" s="208"/>
      <c r="ECB300" s="208"/>
      <c r="ECC300" s="208"/>
      <c r="ECD300" s="208"/>
      <c r="ECE300" s="208"/>
      <c r="ECF300" s="208"/>
      <c r="ECG300" s="208"/>
      <c r="ECH300" s="208"/>
      <c r="ECI300" s="208"/>
      <c r="ECJ300" s="208"/>
      <c r="ECK300" s="208"/>
      <c r="ECL300" s="208"/>
      <c r="ECM300" s="208"/>
      <c r="ECN300" s="208"/>
      <c r="ECO300" s="208"/>
      <c r="ECP300" s="208"/>
      <c r="ECQ300" s="208"/>
      <c r="ECR300" s="208"/>
      <c r="ECS300" s="208"/>
      <c r="ECT300" s="208"/>
      <c r="ECU300" s="208"/>
      <c r="ECV300" s="208"/>
      <c r="ECW300" s="208"/>
      <c r="ECX300" s="208"/>
      <c r="ECY300" s="208"/>
      <c r="ECZ300" s="208"/>
      <c r="EDA300" s="208"/>
      <c r="EDB300" s="208"/>
      <c r="EDC300" s="208"/>
      <c r="EDD300" s="208"/>
      <c r="EDE300" s="208"/>
      <c r="EDF300" s="208"/>
      <c r="EDG300" s="208"/>
      <c r="EDH300" s="208"/>
      <c r="EDI300" s="208"/>
      <c r="EDJ300" s="208"/>
      <c r="EDK300" s="208"/>
      <c r="EDL300" s="208"/>
      <c r="EDM300" s="208"/>
      <c r="EDN300" s="208"/>
      <c r="EDO300" s="208"/>
      <c r="EDP300" s="208"/>
      <c r="EDQ300" s="208"/>
      <c r="EDR300" s="208"/>
      <c r="EDS300" s="208"/>
      <c r="EDT300" s="208"/>
      <c r="EDU300" s="208"/>
      <c r="EDV300" s="208"/>
      <c r="EDW300" s="208"/>
      <c r="EDX300" s="208"/>
      <c r="EDY300" s="208"/>
      <c r="EDZ300" s="208"/>
      <c r="EEA300" s="208"/>
      <c r="EEB300" s="208"/>
      <c r="EEC300" s="208"/>
      <c r="EED300" s="208"/>
      <c r="EEE300" s="208"/>
      <c r="EEF300" s="208"/>
      <c r="EEG300" s="208"/>
      <c r="EEH300" s="208"/>
      <c r="EEI300" s="208"/>
      <c r="EEJ300" s="208"/>
      <c r="EEK300" s="208"/>
      <c r="EEL300" s="208"/>
      <c r="EEM300" s="208"/>
      <c r="EEN300" s="208"/>
      <c r="EEO300" s="208"/>
      <c r="EEP300" s="208"/>
      <c r="EEQ300" s="208"/>
      <c r="EER300" s="208"/>
      <c r="EES300" s="208"/>
      <c r="EET300" s="208"/>
      <c r="EEU300" s="208"/>
      <c r="EEV300" s="208"/>
      <c r="EEW300" s="208"/>
      <c r="EEX300" s="208"/>
      <c r="EEY300" s="208"/>
      <c r="EEZ300" s="208"/>
      <c r="EFA300" s="208"/>
      <c r="EFB300" s="208"/>
      <c r="EFC300" s="208"/>
      <c r="EFD300" s="208"/>
      <c r="EFE300" s="208"/>
      <c r="EFF300" s="208"/>
      <c r="EFG300" s="208"/>
      <c r="EFH300" s="208"/>
      <c r="EFI300" s="208"/>
      <c r="EFJ300" s="208"/>
      <c r="EFK300" s="208"/>
      <c r="EFL300" s="208"/>
      <c r="EFM300" s="208"/>
      <c r="EFN300" s="208"/>
      <c r="EFO300" s="208"/>
      <c r="EFP300" s="208"/>
      <c r="EFQ300" s="208"/>
      <c r="EFR300" s="208"/>
      <c r="EFS300" s="208"/>
      <c r="EFT300" s="208"/>
      <c r="EFU300" s="208"/>
      <c r="EFV300" s="208"/>
      <c r="EFW300" s="208"/>
      <c r="EFX300" s="208"/>
      <c r="EFY300" s="208"/>
      <c r="EFZ300" s="208"/>
      <c r="EGA300" s="208"/>
      <c r="EGB300" s="208"/>
      <c r="EGC300" s="208"/>
      <c r="EGD300" s="208"/>
      <c r="EGE300" s="208"/>
      <c r="EGF300" s="208"/>
      <c r="EGG300" s="208"/>
      <c r="EGH300" s="208"/>
      <c r="EGI300" s="208"/>
      <c r="EGJ300" s="208"/>
      <c r="EGK300" s="208"/>
      <c r="EGL300" s="208"/>
      <c r="EGM300" s="208"/>
      <c r="EGN300" s="208"/>
      <c r="EGO300" s="208"/>
      <c r="EGP300" s="208"/>
      <c r="EGQ300" s="208"/>
      <c r="EGR300" s="208"/>
      <c r="EGS300" s="208"/>
      <c r="EGT300" s="208"/>
      <c r="EGU300" s="208"/>
      <c r="EGV300" s="208"/>
      <c r="EGW300" s="208"/>
      <c r="EGX300" s="208"/>
      <c r="EGY300" s="208"/>
      <c r="EGZ300" s="208"/>
      <c r="EHA300" s="208"/>
      <c r="EHB300" s="208"/>
      <c r="EHC300" s="208"/>
      <c r="EHD300" s="208"/>
      <c r="EHE300" s="208"/>
      <c r="EHF300" s="208"/>
      <c r="EHG300" s="208"/>
      <c r="EHH300" s="208"/>
      <c r="EHI300" s="208"/>
      <c r="EHJ300" s="208"/>
      <c r="EHK300" s="208"/>
      <c r="EHL300" s="208"/>
      <c r="EHM300" s="208"/>
      <c r="EHN300" s="208"/>
      <c r="EHO300" s="208"/>
      <c r="EHP300" s="208"/>
      <c r="EHQ300" s="208"/>
      <c r="EHR300" s="208"/>
      <c r="EHS300" s="208"/>
      <c r="EHT300" s="208"/>
      <c r="EHU300" s="208"/>
      <c r="EHV300" s="208"/>
      <c r="EHW300" s="208"/>
      <c r="EHX300" s="208"/>
      <c r="EHY300" s="208"/>
      <c r="EHZ300" s="208"/>
      <c r="EIA300" s="208"/>
      <c r="EIB300" s="208"/>
      <c r="EIC300" s="208"/>
      <c r="EID300" s="208"/>
      <c r="EIE300" s="208"/>
      <c r="EIF300" s="208"/>
      <c r="EIG300" s="208"/>
      <c r="EIH300" s="208"/>
      <c r="EII300" s="208"/>
      <c r="EIJ300" s="208"/>
      <c r="EIK300" s="208"/>
      <c r="EIL300" s="208"/>
      <c r="EIM300" s="208"/>
      <c r="EIN300" s="208"/>
      <c r="EIO300" s="208"/>
      <c r="EIP300" s="208"/>
      <c r="EIQ300" s="208"/>
      <c r="EIR300" s="208"/>
      <c r="EIS300" s="208"/>
      <c r="EIT300" s="208"/>
      <c r="EIU300" s="208"/>
      <c r="EIV300" s="208"/>
      <c r="EIW300" s="208"/>
      <c r="EIX300" s="208"/>
      <c r="EIY300" s="208"/>
      <c r="EIZ300" s="208"/>
      <c r="EJA300" s="208"/>
      <c r="EJB300" s="208"/>
      <c r="EJC300" s="208"/>
      <c r="EJD300" s="208"/>
      <c r="EJE300" s="208"/>
      <c r="EJF300" s="208"/>
      <c r="EJG300" s="208"/>
      <c r="EJH300" s="208"/>
      <c r="EJI300" s="208"/>
      <c r="EJJ300" s="208"/>
      <c r="EJK300" s="208"/>
      <c r="EJL300" s="208"/>
      <c r="EJM300" s="208"/>
      <c r="EJN300" s="208"/>
      <c r="EJO300" s="208"/>
      <c r="EJP300" s="208"/>
      <c r="EJQ300" s="208"/>
      <c r="EJR300" s="208"/>
      <c r="EJS300" s="208"/>
      <c r="EJT300" s="208"/>
      <c r="EJU300" s="208"/>
      <c r="EJV300" s="208"/>
      <c r="EJW300" s="208"/>
      <c r="EJX300" s="208"/>
      <c r="EJY300" s="208"/>
      <c r="EJZ300" s="208"/>
      <c r="EKA300" s="208"/>
      <c r="EKB300" s="208"/>
      <c r="EKC300" s="208"/>
      <c r="EKD300" s="208"/>
      <c r="EKE300" s="208"/>
      <c r="EKF300" s="208"/>
      <c r="EKG300" s="208"/>
      <c r="EKH300" s="208"/>
      <c r="EKI300" s="208"/>
      <c r="EKJ300" s="208"/>
      <c r="EKK300" s="208"/>
      <c r="EKL300" s="208"/>
      <c r="EKM300" s="208"/>
      <c r="EKN300" s="208"/>
      <c r="EKO300" s="208"/>
      <c r="EKP300" s="208"/>
      <c r="EKQ300" s="208"/>
      <c r="EKR300" s="208"/>
      <c r="EKS300" s="208"/>
      <c r="EKT300" s="208"/>
      <c r="EKU300" s="208"/>
      <c r="EKV300" s="208"/>
      <c r="EKW300" s="208"/>
      <c r="EKX300" s="208"/>
      <c r="EKY300" s="208"/>
      <c r="EKZ300" s="208"/>
      <c r="ELA300" s="208"/>
      <c r="ELB300" s="208"/>
      <c r="ELC300" s="208"/>
      <c r="ELD300" s="208"/>
      <c r="ELE300" s="208"/>
      <c r="ELF300" s="208"/>
      <c r="ELG300" s="208"/>
      <c r="ELH300" s="208"/>
      <c r="ELI300" s="208"/>
      <c r="ELJ300" s="208"/>
      <c r="ELK300" s="208"/>
      <c r="ELL300" s="208"/>
      <c r="ELM300" s="208"/>
      <c r="ELN300" s="208"/>
      <c r="ELO300" s="208"/>
      <c r="ELP300" s="208"/>
      <c r="ELQ300" s="208"/>
      <c r="ELR300" s="208"/>
      <c r="ELS300" s="208"/>
      <c r="ELT300" s="208"/>
      <c r="ELU300" s="208"/>
      <c r="ELV300" s="208"/>
      <c r="ELW300" s="208"/>
      <c r="ELX300" s="208"/>
      <c r="ELY300" s="208"/>
      <c r="ELZ300" s="208"/>
      <c r="EMA300" s="208"/>
      <c r="EMB300" s="208"/>
      <c r="EMC300" s="208"/>
      <c r="EMD300" s="208"/>
      <c r="EME300" s="208"/>
      <c r="EMF300" s="208"/>
      <c r="EMG300" s="208"/>
      <c r="EMH300" s="208"/>
      <c r="EMI300" s="208"/>
      <c r="EMJ300" s="208"/>
      <c r="EMK300" s="208"/>
      <c r="EML300" s="208"/>
      <c r="EMM300" s="208"/>
      <c r="EMN300" s="208"/>
      <c r="EMO300" s="208"/>
      <c r="EMP300" s="208"/>
      <c r="EMQ300" s="208"/>
      <c r="EMR300" s="208"/>
      <c r="EMS300" s="208"/>
      <c r="EMT300" s="208"/>
      <c r="EMU300" s="208"/>
      <c r="EMV300" s="208"/>
      <c r="EMW300" s="208"/>
      <c r="EMX300" s="208"/>
      <c r="EMY300" s="208"/>
      <c r="EMZ300" s="208"/>
      <c r="ENA300" s="208"/>
      <c r="ENB300" s="208"/>
      <c r="ENC300" s="208"/>
      <c r="END300" s="208"/>
      <c r="ENE300" s="208"/>
      <c r="ENF300" s="208"/>
      <c r="ENG300" s="208"/>
      <c r="ENH300" s="208"/>
      <c r="ENI300" s="208"/>
      <c r="ENJ300" s="208"/>
      <c r="ENK300" s="208"/>
      <c r="ENL300" s="208"/>
      <c r="ENM300" s="208"/>
      <c r="ENN300" s="208"/>
      <c r="ENO300" s="208"/>
      <c r="ENP300" s="208"/>
      <c r="ENQ300" s="208"/>
      <c r="ENR300" s="208"/>
      <c r="ENS300" s="208"/>
      <c r="ENT300" s="208"/>
      <c r="ENU300" s="208"/>
      <c r="ENV300" s="208"/>
      <c r="ENW300" s="208"/>
      <c r="ENX300" s="208"/>
      <c r="ENY300" s="208"/>
      <c r="ENZ300" s="208"/>
      <c r="EOA300" s="208"/>
      <c r="EOB300" s="208"/>
      <c r="EOC300" s="208"/>
      <c r="EOD300" s="208"/>
      <c r="EOE300" s="208"/>
      <c r="EOF300" s="208"/>
      <c r="EOG300" s="208"/>
      <c r="EOH300" s="208"/>
      <c r="EOI300" s="208"/>
      <c r="EOJ300" s="208"/>
      <c r="EOK300" s="208"/>
      <c r="EOL300" s="208"/>
      <c r="EOM300" s="208"/>
      <c r="EON300" s="208"/>
      <c r="EOO300" s="208"/>
      <c r="EOP300" s="208"/>
      <c r="EOQ300" s="208"/>
      <c r="EOR300" s="208"/>
      <c r="EOS300" s="208"/>
      <c r="EOT300" s="208"/>
      <c r="EOU300" s="208"/>
      <c r="EOV300" s="208"/>
      <c r="EOW300" s="208"/>
      <c r="EOX300" s="208"/>
      <c r="EOY300" s="208"/>
      <c r="EOZ300" s="208"/>
      <c r="EPA300" s="208"/>
      <c r="EPB300" s="208"/>
      <c r="EPC300" s="208"/>
      <c r="EPD300" s="208"/>
      <c r="EPE300" s="208"/>
      <c r="EPF300" s="208"/>
      <c r="EPG300" s="208"/>
      <c r="EPH300" s="208"/>
      <c r="EPI300" s="208"/>
      <c r="EPJ300" s="208"/>
      <c r="EPK300" s="208"/>
      <c r="EPL300" s="208"/>
      <c r="EPM300" s="208"/>
      <c r="EPN300" s="208"/>
      <c r="EPO300" s="208"/>
      <c r="EPP300" s="208"/>
      <c r="EPQ300" s="208"/>
      <c r="EPR300" s="208"/>
      <c r="EPS300" s="208"/>
      <c r="EPT300" s="208"/>
      <c r="EPU300" s="208"/>
      <c r="EPV300" s="208"/>
      <c r="EPW300" s="208"/>
      <c r="EPX300" s="208"/>
      <c r="EPY300" s="208"/>
      <c r="EPZ300" s="208"/>
      <c r="EQA300" s="208"/>
      <c r="EQB300" s="208"/>
      <c r="EQC300" s="208"/>
      <c r="EQD300" s="208"/>
      <c r="EQE300" s="208"/>
      <c r="EQF300" s="208"/>
      <c r="EQG300" s="208"/>
      <c r="EQH300" s="208"/>
      <c r="EQI300" s="208"/>
      <c r="EQJ300" s="208"/>
      <c r="EQK300" s="208"/>
      <c r="EQL300" s="208"/>
      <c r="EQM300" s="208"/>
      <c r="EQN300" s="208"/>
      <c r="EQO300" s="208"/>
      <c r="EQP300" s="208"/>
      <c r="EQQ300" s="208"/>
      <c r="EQR300" s="208"/>
      <c r="EQS300" s="208"/>
      <c r="EQT300" s="208"/>
      <c r="EQU300" s="208"/>
      <c r="EQV300" s="208"/>
      <c r="EQW300" s="208"/>
      <c r="EQX300" s="208"/>
      <c r="EQY300" s="208"/>
      <c r="EQZ300" s="208"/>
      <c r="ERA300" s="208"/>
      <c r="ERB300" s="208"/>
      <c r="ERC300" s="208"/>
      <c r="ERD300" s="208"/>
      <c r="ERE300" s="208"/>
      <c r="ERF300" s="208"/>
      <c r="ERG300" s="208"/>
      <c r="ERH300" s="208"/>
      <c r="ERI300" s="208"/>
      <c r="ERJ300" s="208"/>
      <c r="ERK300" s="208"/>
      <c r="ERL300" s="208"/>
      <c r="ERM300" s="208"/>
      <c r="ERN300" s="208"/>
      <c r="ERO300" s="208"/>
      <c r="ERP300" s="208"/>
      <c r="ERQ300" s="208"/>
      <c r="ERR300" s="208"/>
      <c r="ERS300" s="208"/>
      <c r="ERT300" s="208"/>
      <c r="ERU300" s="208"/>
      <c r="ERV300" s="208"/>
      <c r="ERW300" s="208"/>
      <c r="ERX300" s="208"/>
      <c r="ERY300" s="208"/>
      <c r="ERZ300" s="208"/>
      <c r="ESA300" s="208"/>
      <c r="ESB300" s="208"/>
      <c r="ESC300" s="208"/>
      <c r="ESD300" s="208"/>
      <c r="ESE300" s="208"/>
      <c r="ESF300" s="208"/>
      <c r="ESG300" s="208"/>
      <c r="ESH300" s="208"/>
      <c r="ESI300" s="208"/>
      <c r="ESJ300" s="208"/>
      <c r="ESK300" s="208"/>
      <c r="ESL300" s="208"/>
      <c r="ESM300" s="208"/>
      <c r="ESN300" s="208"/>
      <c r="ESO300" s="208"/>
      <c r="ESP300" s="208"/>
      <c r="ESQ300" s="208"/>
      <c r="ESR300" s="208"/>
      <c r="ESS300" s="208"/>
      <c r="EST300" s="208"/>
      <c r="ESU300" s="208"/>
      <c r="ESV300" s="208"/>
      <c r="ESW300" s="208"/>
      <c r="ESX300" s="208"/>
      <c r="ESY300" s="208"/>
      <c r="ESZ300" s="208"/>
      <c r="ETA300" s="208"/>
      <c r="ETB300" s="208"/>
      <c r="ETC300" s="208"/>
      <c r="ETD300" s="208"/>
      <c r="ETE300" s="208"/>
      <c r="ETF300" s="208"/>
      <c r="ETG300" s="208"/>
      <c r="ETH300" s="208"/>
      <c r="ETI300" s="208"/>
      <c r="ETJ300" s="208"/>
      <c r="ETK300" s="208"/>
      <c r="ETL300" s="208"/>
      <c r="ETM300" s="208"/>
      <c r="ETN300" s="208"/>
      <c r="ETO300" s="208"/>
      <c r="ETP300" s="208"/>
      <c r="ETQ300" s="208"/>
      <c r="ETR300" s="208"/>
      <c r="ETS300" s="208"/>
      <c r="ETT300" s="208"/>
      <c r="ETU300" s="208"/>
      <c r="ETV300" s="208"/>
      <c r="ETW300" s="208"/>
      <c r="ETX300" s="208"/>
      <c r="ETY300" s="208"/>
      <c r="ETZ300" s="208"/>
      <c r="EUA300" s="208"/>
      <c r="EUB300" s="208"/>
      <c r="EUC300" s="208"/>
      <c r="EUD300" s="208"/>
      <c r="EUE300" s="208"/>
      <c r="EUF300" s="208"/>
      <c r="EUG300" s="208"/>
      <c r="EUH300" s="208"/>
      <c r="EUI300" s="208"/>
      <c r="EUJ300" s="208"/>
      <c r="EUK300" s="208"/>
      <c r="EUL300" s="208"/>
      <c r="EUM300" s="208"/>
      <c r="EUN300" s="208"/>
      <c r="EUO300" s="208"/>
      <c r="EUP300" s="208"/>
      <c r="EUQ300" s="208"/>
      <c r="EUR300" s="208"/>
      <c r="EUS300" s="208"/>
      <c r="EUT300" s="208"/>
      <c r="EUU300" s="208"/>
      <c r="EUV300" s="208"/>
      <c r="EUW300" s="208"/>
      <c r="EUX300" s="208"/>
      <c r="EUY300" s="208"/>
      <c r="EUZ300" s="208"/>
      <c r="EVA300" s="208"/>
      <c r="EVB300" s="208"/>
      <c r="EVC300" s="208"/>
      <c r="EVD300" s="208"/>
      <c r="EVE300" s="208"/>
      <c r="EVF300" s="208"/>
      <c r="EVG300" s="208"/>
      <c r="EVH300" s="208"/>
      <c r="EVI300" s="208"/>
      <c r="EVJ300" s="208"/>
      <c r="EVK300" s="208"/>
      <c r="EVL300" s="208"/>
      <c r="EVM300" s="208"/>
      <c r="EVN300" s="208"/>
      <c r="EVO300" s="208"/>
      <c r="EVP300" s="208"/>
      <c r="EVQ300" s="208"/>
      <c r="EVR300" s="208"/>
      <c r="EVS300" s="208"/>
      <c r="EVT300" s="208"/>
      <c r="EVU300" s="208"/>
      <c r="EVV300" s="208"/>
      <c r="EVW300" s="208"/>
      <c r="EVX300" s="208"/>
      <c r="EVY300" s="208"/>
      <c r="EVZ300" s="208"/>
      <c r="EWA300" s="208"/>
      <c r="EWB300" s="208"/>
      <c r="EWC300" s="208"/>
      <c r="EWD300" s="208"/>
      <c r="EWE300" s="208"/>
      <c r="EWF300" s="208"/>
      <c r="EWG300" s="208"/>
      <c r="EWH300" s="208"/>
      <c r="EWI300" s="208"/>
      <c r="EWJ300" s="208"/>
      <c r="EWK300" s="208"/>
      <c r="EWL300" s="208"/>
      <c r="EWM300" s="208"/>
      <c r="EWN300" s="208"/>
      <c r="EWO300" s="208"/>
      <c r="EWP300" s="208"/>
      <c r="EWQ300" s="208"/>
      <c r="EWR300" s="208"/>
      <c r="EWS300" s="208"/>
      <c r="EWT300" s="208"/>
      <c r="EWU300" s="208"/>
      <c r="EWV300" s="208"/>
      <c r="EWW300" s="208"/>
      <c r="EWX300" s="208"/>
      <c r="EWY300" s="208"/>
      <c r="EWZ300" s="208"/>
      <c r="EXA300" s="208"/>
      <c r="EXB300" s="208"/>
      <c r="EXC300" s="208"/>
      <c r="EXD300" s="208"/>
      <c r="EXE300" s="208"/>
      <c r="EXF300" s="208"/>
      <c r="EXG300" s="208"/>
      <c r="EXH300" s="208"/>
      <c r="EXI300" s="208"/>
      <c r="EXJ300" s="208"/>
      <c r="EXK300" s="208"/>
      <c r="EXL300" s="208"/>
      <c r="EXM300" s="208"/>
      <c r="EXN300" s="208"/>
      <c r="EXO300" s="208"/>
      <c r="EXP300" s="208"/>
      <c r="EXQ300" s="208"/>
      <c r="EXR300" s="208"/>
      <c r="EXS300" s="208"/>
      <c r="EXT300" s="208"/>
      <c r="EXU300" s="208"/>
      <c r="EXV300" s="208"/>
      <c r="EXW300" s="208"/>
      <c r="EXX300" s="208"/>
      <c r="EXY300" s="208"/>
      <c r="EXZ300" s="208"/>
      <c r="EYA300" s="208"/>
      <c r="EYB300" s="208"/>
      <c r="EYC300" s="208"/>
      <c r="EYD300" s="208"/>
      <c r="EYE300" s="208"/>
      <c r="EYF300" s="208"/>
      <c r="EYG300" s="208"/>
      <c r="EYH300" s="208"/>
      <c r="EYI300" s="208"/>
      <c r="EYJ300" s="208"/>
      <c r="EYK300" s="208"/>
      <c r="EYL300" s="208"/>
      <c r="EYM300" s="208"/>
      <c r="EYN300" s="208"/>
      <c r="EYO300" s="208"/>
      <c r="EYP300" s="208"/>
      <c r="EYQ300" s="208"/>
      <c r="EYR300" s="208"/>
      <c r="EYS300" s="208"/>
      <c r="EYT300" s="208"/>
      <c r="EYU300" s="208"/>
      <c r="EYV300" s="208"/>
      <c r="EYW300" s="208"/>
      <c r="EYX300" s="208"/>
      <c r="EYY300" s="208"/>
      <c r="EYZ300" s="208"/>
      <c r="EZA300" s="208"/>
      <c r="EZB300" s="208"/>
      <c r="EZC300" s="208"/>
      <c r="EZD300" s="208"/>
      <c r="EZE300" s="208"/>
      <c r="EZF300" s="208"/>
      <c r="EZG300" s="208"/>
      <c r="EZH300" s="208"/>
      <c r="EZI300" s="208"/>
      <c r="EZJ300" s="208"/>
      <c r="EZK300" s="208"/>
      <c r="EZL300" s="208"/>
      <c r="EZM300" s="208"/>
      <c r="EZN300" s="208"/>
      <c r="EZO300" s="208"/>
      <c r="EZP300" s="208"/>
      <c r="EZQ300" s="208"/>
      <c r="EZR300" s="208"/>
      <c r="EZS300" s="208"/>
      <c r="EZT300" s="208"/>
      <c r="EZU300" s="208"/>
      <c r="EZV300" s="208"/>
      <c r="EZW300" s="208"/>
      <c r="EZX300" s="208"/>
      <c r="EZY300" s="208"/>
      <c r="EZZ300" s="208"/>
      <c r="FAA300" s="208"/>
      <c r="FAB300" s="208"/>
      <c r="FAC300" s="208"/>
      <c r="FAD300" s="208"/>
      <c r="FAE300" s="208"/>
      <c r="FAF300" s="208"/>
      <c r="FAG300" s="208"/>
      <c r="FAH300" s="208"/>
      <c r="FAI300" s="208"/>
      <c r="FAJ300" s="208"/>
      <c r="FAK300" s="208"/>
      <c r="FAL300" s="208"/>
      <c r="FAM300" s="208"/>
      <c r="FAN300" s="208"/>
      <c r="FAO300" s="208"/>
      <c r="FAP300" s="208"/>
      <c r="FAQ300" s="208"/>
      <c r="FAR300" s="208"/>
      <c r="FAS300" s="208"/>
      <c r="FAT300" s="208"/>
      <c r="FAU300" s="208"/>
      <c r="FAV300" s="208"/>
      <c r="FAW300" s="208"/>
      <c r="FAX300" s="208"/>
      <c r="FAY300" s="208"/>
      <c r="FAZ300" s="208"/>
      <c r="FBA300" s="208"/>
      <c r="FBB300" s="208"/>
      <c r="FBC300" s="208"/>
      <c r="FBD300" s="208"/>
      <c r="FBE300" s="208"/>
      <c r="FBF300" s="208"/>
      <c r="FBG300" s="208"/>
      <c r="FBH300" s="208"/>
      <c r="FBI300" s="208"/>
      <c r="FBJ300" s="208"/>
      <c r="FBK300" s="208"/>
      <c r="FBL300" s="208"/>
      <c r="FBM300" s="208"/>
      <c r="FBN300" s="208"/>
      <c r="FBO300" s="208"/>
      <c r="FBP300" s="208"/>
      <c r="FBQ300" s="208"/>
      <c r="FBR300" s="208"/>
      <c r="FBS300" s="208"/>
      <c r="FBT300" s="208"/>
      <c r="FBU300" s="208"/>
      <c r="FBV300" s="208"/>
      <c r="FBW300" s="208"/>
      <c r="FBX300" s="208"/>
      <c r="FBY300" s="208"/>
      <c r="FBZ300" s="208"/>
      <c r="FCA300" s="208"/>
      <c r="FCB300" s="208"/>
      <c r="FCC300" s="208"/>
      <c r="FCD300" s="208"/>
      <c r="FCE300" s="208"/>
      <c r="FCF300" s="208"/>
      <c r="FCG300" s="208"/>
      <c r="FCH300" s="208"/>
      <c r="FCI300" s="208"/>
      <c r="FCJ300" s="208"/>
      <c r="FCK300" s="208"/>
      <c r="FCL300" s="208"/>
      <c r="FCM300" s="208"/>
      <c r="FCN300" s="208"/>
      <c r="FCO300" s="208"/>
      <c r="FCP300" s="208"/>
      <c r="FCQ300" s="208"/>
      <c r="FCR300" s="208"/>
      <c r="FCS300" s="208"/>
      <c r="FCT300" s="208"/>
      <c r="FCU300" s="208"/>
      <c r="FCV300" s="208"/>
      <c r="FCW300" s="208"/>
      <c r="FCX300" s="208"/>
      <c r="FCY300" s="208"/>
      <c r="FCZ300" s="208"/>
      <c r="FDA300" s="208"/>
      <c r="FDB300" s="208"/>
      <c r="FDC300" s="208"/>
      <c r="FDD300" s="208"/>
      <c r="FDE300" s="208"/>
      <c r="FDF300" s="208"/>
      <c r="FDG300" s="208"/>
      <c r="FDH300" s="208"/>
      <c r="FDI300" s="208"/>
      <c r="FDJ300" s="208"/>
      <c r="FDK300" s="208"/>
      <c r="FDL300" s="208"/>
      <c r="FDM300" s="208"/>
      <c r="FDN300" s="208"/>
      <c r="FDO300" s="208"/>
      <c r="FDP300" s="208"/>
      <c r="FDQ300" s="208"/>
      <c r="FDR300" s="208"/>
      <c r="FDS300" s="208"/>
      <c r="FDT300" s="208"/>
      <c r="FDU300" s="208"/>
      <c r="FDV300" s="208"/>
      <c r="FDW300" s="208"/>
      <c r="FDX300" s="208"/>
      <c r="FDY300" s="208"/>
      <c r="FDZ300" s="208"/>
      <c r="FEA300" s="208"/>
      <c r="FEB300" s="208"/>
      <c r="FEC300" s="208"/>
      <c r="FED300" s="208"/>
      <c r="FEE300" s="208"/>
      <c r="FEF300" s="208"/>
      <c r="FEG300" s="208"/>
      <c r="FEH300" s="208"/>
      <c r="FEI300" s="208"/>
      <c r="FEJ300" s="208"/>
      <c r="FEK300" s="208"/>
      <c r="FEL300" s="208"/>
      <c r="FEM300" s="208"/>
      <c r="FEN300" s="208"/>
      <c r="FEO300" s="208"/>
      <c r="FEP300" s="208"/>
      <c r="FEQ300" s="208"/>
      <c r="FER300" s="208"/>
      <c r="FES300" s="208"/>
      <c r="FET300" s="208"/>
      <c r="FEU300" s="208"/>
      <c r="FEV300" s="208"/>
      <c r="FEW300" s="208"/>
      <c r="FEX300" s="208"/>
      <c r="FEY300" s="208"/>
      <c r="FEZ300" s="208"/>
      <c r="FFA300" s="208"/>
      <c r="FFB300" s="208"/>
      <c r="FFC300" s="208"/>
      <c r="FFD300" s="208"/>
      <c r="FFE300" s="208"/>
      <c r="FFF300" s="208"/>
      <c r="FFG300" s="208"/>
      <c r="FFH300" s="208"/>
      <c r="FFI300" s="208"/>
      <c r="FFJ300" s="208"/>
      <c r="FFK300" s="208"/>
      <c r="FFL300" s="208"/>
      <c r="FFM300" s="208"/>
      <c r="FFN300" s="208"/>
      <c r="FFO300" s="208"/>
      <c r="FFP300" s="208"/>
      <c r="FFQ300" s="208"/>
      <c r="FFR300" s="208"/>
      <c r="FFS300" s="208"/>
      <c r="FFT300" s="208"/>
      <c r="FFU300" s="208"/>
      <c r="FFV300" s="208"/>
      <c r="FFW300" s="208"/>
      <c r="FFX300" s="208"/>
      <c r="FFY300" s="208"/>
      <c r="FFZ300" s="208"/>
      <c r="FGA300" s="208"/>
      <c r="FGB300" s="208"/>
      <c r="FGC300" s="208"/>
      <c r="FGD300" s="208"/>
      <c r="FGE300" s="208"/>
      <c r="FGF300" s="208"/>
      <c r="FGG300" s="208"/>
      <c r="FGH300" s="208"/>
      <c r="FGI300" s="208"/>
      <c r="FGJ300" s="208"/>
      <c r="FGK300" s="208"/>
      <c r="FGL300" s="208"/>
      <c r="FGM300" s="208"/>
      <c r="FGN300" s="208"/>
      <c r="FGO300" s="208"/>
      <c r="FGP300" s="208"/>
      <c r="FGQ300" s="208"/>
      <c r="FGR300" s="208"/>
      <c r="FGS300" s="208"/>
      <c r="FGT300" s="208"/>
      <c r="FGU300" s="208"/>
      <c r="FGV300" s="208"/>
      <c r="FGW300" s="208"/>
      <c r="FGX300" s="208"/>
      <c r="FGY300" s="208"/>
      <c r="FGZ300" s="208"/>
      <c r="FHA300" s="208"/>
      <c r="FHB300" s="208"/>
      <c r="FHC300" s="208"/>
      <c r="FHD300" s="208"/>
      <c r="FHE300" s="208"/>
      <c r="FHF300" s="208"/>
      <c r="FHG300" s="208"/>
      <c r="FHH300" s="208"/>
      <c r="FHI300" s="208"/>
      <c r="FHJ300" s="208"/>
      <c r="FHK300" s="208"/>
      <c r="FHL300" s="208"/>
      <c r="FHM300" s="208"/>
      <c r="FHN300" s="208"/>
      <c r="FHO300" s="208"/>
      <c r="FHP300" s="208"/>
      <c r="FHQ300" s="208"/>
      <c r="FHR300" s="208"/>
      <c r="FHS300" s="208"/>
      <c r="FHT300" s="208"/>
      <c r="FHU300" s="208"/>
      <c r="FHV300" s="208"/>
      <c r="FHW300" s="208"/>
      <c r="FHX300" s="208"/>
      <c r="FHY300" s="208"/>
      <c r="FHZ300" s="208"/>
      <c r="FIA300" s="208"/>
      <c r="FIB300" s="208"/>
      <c r="FIC300" s="208"/>
      <c r="FID300" s="208"/>
      <c r="FIE300" s="208"/>
      <c r="FIF300" s="208"/>
      <c r="FIG300" s="208"/>
      <c r="FIH300" s="208"/>
      <c r="FII300" s="208"/>
      <c r="FIJ300" s="208"/>
      <c r="FIK300" s="208"/>
      <c r="FIL300" s="208"/>
      <c r="FIM300" s="208"/>
      <c r="FIN300" s="208"/>
      <c r="FIO300" s="208"/>
      <c r="FIP300" s="208"/>
      <c r="FIQ300" s="208"/>
      <c r="FIR300" s="208"/>
      <c r="FIS300" s="208"/>
      <c r="FIT300" s="208"/>
      <c r="FIU300" s="208"/>
      <c r="FIV300" s="208"/>
      <c r="FIW300" s="208"/>
      <c r="FIX300" s="208"/>
      <c r="FIY300" s="208"/>
      <c r="FIZ300" s="208"/>
      <c r="FJA300" s="208"/>
      <c r="FJB300" s="208"/>
      <c r="FJC300" s="208"/>
      <c r="FJD300" s="208"/>
      <c r="FJE300" s="208"/>
      <c r="FJF300" s="208"/>
      <c r="FJG300" s="208"/>
      <c r="FJH300" s="208"/>
      <c r="FJI300" s="208"/>
      <c r="FJJ300" s="208"/>
      <c r="FJK300" s="208"/>
      <c r="FJL300" s="208"/>
      <c r="FJM300" s="208"/>
      <c r="FJN300" s="208"/>
      <c r="FJO300" s="208"/>
      <c r="FJP300" s="208"/>
      <c r="FJQ300" s="208"/>
      <c r="FJR300" s="208"/>
      <c r="FJS300" s="208"/>
      <c r="FJT300" s="208"/>
      <c r="FJU300" s="208"/>
      <c r="FJV300" s="208"/>
      <c r="FJW300" s="208"/>
      <c r="FJX300" s="208"/>
      <c r="FJY300" s="208"/>
      <c r="FJZ300" s="208"/>
      <c r="FKA300" s="208"/>
      <c r="FKB300" s="208"/>
      <c r="FKC300" s="208"/>
      <c r="FKD300" s="208"/>
      <c r="FKE300" s="208"/>
      <c r="FKF300" s="208"/>
      <c r="FKG300" s="208"/>
      <c r="FKH300" s="208"/>
      <c r="FKI300" s="208"/>
      <c r="FKJ300" s="208"/>
      <c r="FKK300" s="208"/>
      <c r="FKL300" s="208"/>
      <c r="FKM300" s="208"/>
      <c r="FKN300" s="208"/>
      <c r="FKO300" s="208"/>
      <c r="FKP300" s="208"/>
      <c r="FKQ300" s="208"/>
      <c r="FKR300" s="208"/>
      <c r="FKS300" s="208"/>
      <c r="FKT300" s="208"/>
      <c r="FKU300" s="208"/>
      <c r="FKV300" s="208"/>
      <c r="FKW300" s="208"/>
      <c r="FKX300" s="208"/>
      <c r="FKY300" s="208"/>
      <c r="FKZ300" s="208"/>
      <c r="FLA300" s="208"/>
      <c r="FLB300" s="208"/>
      <c r="FLC300" s="208"/>
      <c r="FLD300" s="208"/>
      <c r="FLE300" s="208"/>
      <c r="FLF300" s="208"/>
      <c r="FLG300" s="208"/>
      <c r="FLH300" s="208"/>
      <c r="FLI300" s="208"/>
      <c r="FLJ300" s="208"/>
      <c r="FLK300" s="208"/>
      <c r="FLL300" s="208"/>
      <c r="FLM300" s="208"/>
      <c r="FLN300" s="208"/>
      <c r="FLO300" s="208"/>
      <c r="FLP300" s="208"/>
      <c r="FLQ300" s="208"/>
      <c r="FLR300" s="208"/>
      <c r="FLS300" s="208"/>
      <c r="FLT300" s="208"/>
      <c r="FLU300" s="208"/>
      <c r="FLV300" s="208"/>
      <c r="FLW300" s="208"/>
      <c r="FLX300" s="208"/>
      <c r="FLY300" s="208"/>
      <c r="FLZ300" s="208"/>
      <c r="FMA300" s="208"/>
      <c r="FMB300" s="208"/>
      <c r="FMC300" s="208"/>
      <c r="FMD300" s="208"/>
      <c r="FME300" s="208"/>
      <c r="FMF300" s="208"/>
      <c r="FMG300" s="208"/>
      <c r="FMH300" s="208"/>
      <c r="FMI300" s="208"/>
      <c r="FMJ300" s="208"/>
      <c r="FMK300" s="208"/>
      <c r="FML300" s="208"/>
      <c r="FMM300" s="208"/>
      <c r="FMN300" s="208"/>
      <c r="FMO300" s="208"/>
      <c r="FMP300" s="208"/>
      <c r="FMQ300" s="208"/>
      <c r="FMR300" s="208"/>
      <c r="FMS300" s="208"/>
      <c r="FMT300" s="208"/>
      <c r="FMU300" s="208"/>
      <c r="FMV300" s="208"/>
      <c r="FMW300" s="208"/>
      <c r="FMX300" s="208"/>
      <c r="FMY300" s="208"/>
      <c r="FMZ300" s="208"/>
      <c r="FNA300" s="208"/>
      <c r="FNB300" s="208"/>
      <c r="FNC300" s="208"/>
      <c r="FND300" s="208"/>
      <c r="FNE300" s="208"/>
      <c r="FNF300" s="208"/>
      <c r="FNG300" s="208"/>
      <c r="FNH300" s="208"/>
      <c r="FNI300" s="208"/>
      <c r="FNJ300" s="208"/>
      <c r="FNK300" s="208"/>
      <c r="FNL300" s="208"/>
      <c r="FNM300" s="208"/>
      <c r="FNN300" s="208"/>
      <c r="FNO300" s="208"/>
      <c r="FNP300" s="208"/>
      <c r="FNQ300" s="208"/>
      <c r="FNR300" s="208"/>
      <c r="FNS300" s="208"/>
      <c r="FNT300" s="208"/>
      <c r="FNU300" s="208"/>
      <c r="FNV300" s="208"/>
      <c r="FNW300" s="208"/>
      <c r="FNX300" s="208"/>
      <c r="FNY300" s="208"/>
      <c r="FNZ300" s="208"/>
      <c r="FOA300" s="208"/>
      <c r="FOB300" s="208"/>
      <c r="FOC300" s="208"/>
      <c r="FOD300" s="208"/>
      <c r="FOE300" s="208"/>
      <c r="FOF300" s="208"/>
      <c r="FOG300" s="208"/>
      <c r="FOH300" s="208"/>
      <c r="FOI300" s="208"/>
      <c r="FOJ300" s="208"/>
      <c r="FOK300" s="208"/>
      <c r="FOL300" s="208"/>
      <c r="FOM300" s="208"/>
      <c r="FON300" s="208"/>
      <c r="FOO300" s="208"/>
      <c r="FOP300" s="208"/>
      <c r="FOQ300" s="208"/>
      <c r="FOR300" s="208"/>
      <c r="FOS300" s="208"/>
      <c r="FOT300" s="208"/>
      <c r="FOU300" s="208"/>
      <c r="FOV300" s="208"/>
      <c r="FOW300" s="208"/>
      <c r="FOX300" s="208"/>
      <c r="FOY300" s="208"/>
      <c r="FOZ300" s="208"/>
      <c r="FPA300" s="208"/>
      <c r="FPB300" s="208"/>
      <c r="FPC300" s="208"/>
      <c r="FPD300" s="208"/>
      <c r="FPE300" s="208"/>
      <c r="FPF300" s="208"/>
      <c r="FPG300" s="208"/>
      <c r="FPH300" s="208"/>
      <c r="FPI300" s="208"/>
      <c r="FPJ300" s="208"/>
      <c r="FPK300" s="208"/>
      <c r="FPL300" s="208"/>
      <c r="FPM300" s="208"/>
      <c r="FPN300" s="208"/>
      <c r="FPO300" s="208"/>
      <c r="FPP300" s="208"/>
      <c r="FPQ300" s="208"/>
      <c r="FPR300" s="208"/>
      <c r="FPS300" s="208"/>
      <c r="FPT300" s="208"/>
      <c r="FPU300" s="208"/>
      <c r="FPV300" s="208"/>
      <c r="FPW300" s="208"/>
      <c r="FPX300" s="208"/>
      <c r="FPY300" s="208"/>
      <c r="FPZ300" s="208"/>
      <c r="FQA300" s="208"/>
      <c r="FQB300" s="208"/>
      <c r="FQC300" s="208"/>
      <c r="FQD300" s="208"/>
      <c r="FQE300" s="208"/>
      <c r="FQF300" s="208"/>
      <c r="FQG300" s="208"/>
      <c r="FQH300" s="208"/>
      <c r="FQI300" s="208"/>
      <c r="FQJ300" s="208"/>
      <c r="FQK300" s="208"/>
      <c r="FQL300" s="208"/>
      <c r="FQM300" s="208"/>
      <c r="FQN300" s="208"/>
      <c r="FQO300" s="208"/>
      <c r="FQP300" s="208"/>
      <c r="FQQ300" s="208"/>
      <c r="FQR300" s="208"/>
      <c r="FQS300" s="208"/>
      <c r="FQT300" s="208"/>
      <c r="FQU300" s="208"/>
      <c r="FQV300" s="208"/>
      <c r="FQW300" s="208"/>
      <c r="FQX300" s="208"/>
      <c r="FQY300" s="208"/>
      <c r="FQZ300" s="208"/>
      <c r="FRA300" s="208"/>
      <c r="FRB300" s="208"/>
      <c r="FRC300" s="208"/>
      <c r="FRD300" s="208"/>
      <c r="FRE300" s="208"/>
      <c r="FRF300" s="208"/>
      <c r="FRG300" s="208"/>
      <c r="FRH300" s="208"/>
      <c r="FRI300" s="208"/>
      <c r="FRJ300" s="208"/>
      <c r="FRK300" s="208"/>
      <c r="FRL300" s="208"/>
      <c r="FRM300" s="208"/>
      <c r="FRN300" s="208"/>
      <c r="FRO300" s="208"/>
      <c r="FRP300" s="208"/>
      <c r="FRQ300" s="208"/>
      <c r="FRR300" s="208"/>
      <c r="FRS300" s="208"/>
      <c r="FRT300" s="208"/>
      <c r="FRU300" s="208"/>
      <c r="FRV300" s="208"/>
      <c r="FRW300" s="208"/>
      <c r="FRX300" s="208"/>
      <c r="FRY300" s="208"/>
      <c r="FRZ300" s="208"/>
      <c r="FSA300" s="208"/>
      <c r="FSB300" s="208"/>
      <c r="FSC300" s="208"/>
      <c r="FSD300" s="208"/>
      <c r="FSE300" s="208"/>
      <c r="FSF300" s="208"/>
      <c r="FSG300" s="208"/>
      <c r="FSH300" s="208"/>
      <c r="FSI300" s="208"/>
      <c r="FSJ300" s="208"/>
      <c r="FSK300" s="208"/>
      <c r="FSL300" s="208"/>
      <c r="FSM300" s="208"/>
      <c r="FSN300" s="208"/>
      <c r="FSO300" s="208"/>
      <c r="FSP300" s="208"/>
      <c r="FSQ300" s="208"/>
      <c r="FSR300" s="208"/>
      <c r="FSS300" s="208"/>
      <c r="FST300" s="208"/>
      <c r="FSU300" s="208"/>
      <c r="FSV300" s="208"/>
      <c r="FSW300" s="208"/>
      <c r="FSX300" s="208"/>
      <c r="FSY300" s="208"/>
      <c r="FSZ300" s="208"/>
      <c r="FTA300" s="208"/>
      <c r="FTB300" s="208"/>
      <c r="FTC300" s="208"/>
      <c r="FTD300" s="208"/>
      <c r="FTE300" s="208"/>
      <c r="FTF300" s="208"/>
      <c r="FTG300" s="208"/>
      <c r="FTH300" s="208"/>
      <c r="FTI300" s="208"/>
      <c r="FTJ300" s="208"/>
      <c r="FTK300" s="208"/>
      <c r="FTL300" s="208"/>
      <c r="FTM300" s="208"/>
      <c r="FTN300" s="208"/>
      <c r="FTO300" s="208"/>
      <c r="FTP300" s="208"/>
      <c r="FTQ300" s="208"/>
      <c r="FTR300" s="208"/>
      <c r="FTS300" s="208"/>
      <c r="FTT300" s="208"/>
      <c r="FTU300" s="208"/>
      <c r="FTV300" s="208"/>
      <c r="FTW300" s="208"/>
      <c r="FTX300" s="208"/>
      <c r="FTY300" s="208"/>
      <c r="FTZ300" s="208"/>
      <c r="FUA300" s="208"/>
      <c r="FUB300" s="208"/>
      <c r="FUC300" s="208"/>
      <c r="FUD300" s="208"/>
      <c r="FUE300" s="208"/>
      <c r="FUF300" s="208"/>
      <c r="FUG300" s="208"/>
      <c r="FUH300" s="208"/>
      <c r="FUI300" s="208"/>
      <c r="FUJ300" s="208"/>
      <c r="FUK300" s="208"/>
      <c r="FUL300" s="208"/>
      <c r="FUM300" s="208"/>
      <c r="FUN300" s="208"/>
      <c r="FUO300" s="208"/>
      <c r="FUP300" s="208"/>
      <c r="FUQ300" s="208"/>
      <c r="FUR300" s="208"/>
      <c r="FUS300" s="208"/>
      <c r="FUT300" s="208"/>
      <c r="FUU300" s="208"/>
      <c r="FUV300" s="208"/>
      <c r="FUW300" s="208"/>
      <c r="FUX300" s="208"/>
      <c r="FUY300" s="208"/>
      <c r="FUZ300" s="208"/>
      <c r="FVA300" s="208"/>
      <c r="FVB300" s="208"/>
      <c r="FVC300" s="208"/>
      <c r="FVD300" s="208"/>
      <c r="FVE300" s="208"/>
      <c r="FVF300" s="208"/>
      <c r="FVG300" s="208"/>
      <c r="FVH300" s="208"/>
      <c r="FVI300" s="208"/>
      <c r="FVJ300" s="208"/>
      <c r="FVK300" s="208"/>
      <c r="FVL300" s="208"/>
      <c r="FVM300" s="208"/>
      <c r="FVN300" s="208"/>
      <c r="FVO300" s="208"/>
      <c r="FVP300" s="208"/>
      <c r="FVQ300" s="208"/>
      <c r="FVR300" s="208"/>
      <c r="FVS300" s="208"/>
      <c r="FVT300" s="208"/>
      <c r="FVU300" s="208"/>
      <c r="FVV300" s="208"/>
      <c r="FVW300" s="208"/>
      <c r="FVX300" s="208"/>
      <c r="FVY300" s="208"/>
      <c r="FVZ300" s="208"/>
      <c r="FWA300" s="208"/>
      <c r="FWB300" s="208"/>
      <c r="FWC300" s="208"/>
      <c r="FWD300" s="208"/>
      <c r="FWE300" s="208"/>
      <c r="FWF300" s="208"/>
      <c r="FWG300" s="208"/>
      <c r="FWH300" s="208"/>
      <c r="FWI300" s="208"/>
      <c r="FWJ300" s="208"/>
      <c r="FWK300" s="208"/>
      <c r="FWL300" s="208"/>
      <c r="FWM300" s="208"/>
      <c r="FWN300" s="208"/>
      <c r="FWO300" s="208"/>
      <c r="FWP300" s="208"/>
      <c r="FWQ300" s="208"/>
      <c r="FWR300" s="208"/>
      <c r="FWS300" s="208"/>
      <c r="FWT300" s="208"/>
      <c r="FWU300" s="208"/>
      <c r="FWV300" s="208"/>
      <c r="FWW300" s="208"/>
      <c r="FWX300" s="208"/>
      <c r="FWY300" s="208"/>
      <c r="FWZ300" s="208"/>
      <c r="FXA300" s="208"/>
      <c r="FXB300" s="208"/>
      <c r="FXC300" s="208"/>
      <c r="FXD300" s="208"/>
      <c r="FXE300" s="208"/>
      <c r="FXF300" s="208"/>
      <c r="FXG300" s="208"/>
      <c r="FXH300" s="208"/>
      <c r="FXI300" s="208"/>
      <c r="FXJ300" s="208"/>
      <c r="FXK300" s="208"/>
      <c r="FXL300" s="208"/>
      <c r="FXM300" s="208"/>
      <c r="FXN300" s="208"/>
      <c r="FXO300" s="208"/>
      <c r="FXP300" s="208"/>
      <c r="FXQ300" s="208"/>
      <c r="FXR300" s="208"/>
      <c r="FXS300" s="208"/>
      <c r="FXT300" s="208"/>
      <c r="FXU300" s="208"/>
      <c r="FXV300" s="208"/>
      <c r="FXW300" s="208"/>
      <c r="FXX300" s="208"/>
      <c r="FXY300" s="208"/>
      <c r="FXZ300" s="208"/>
      <c r="FYA300" s="208"/>
      <c r="FYB300" s="208"/>
      <c r="FYC300" s="208"/>
      <c r="FYD300" s="208"/>
      <c r="FYE300" s="208"/>
      <c r="FYF300" s="208"/>
      <c r="FYG300" s="208"/>
      <c r="FYH300" s="208"/>
      <c r="FYI300" s="208"/>
      <c r="FYJ300" s="208"/>
      <c r="FYK300" s="208"/>
      <c r="FYL300" s="208"/>
      <c r="FYM300" s="208"/>
      <c r="FYN300" s="208"/>
      <c r="FYO300" s="208"/>
      <c r="FYP300" s="208"/>
      <c r="FYQ300" s="208"/>
      <c r="FYR300" s="208"/>
      <c r="FYS300" s="208"/>
      <c r="FYT300" s="208"/>
      <c r="FYU300" s="208"/>
      <c r="FYV300" s="208"/>
      <c r="FYW300" s="208"/>
      <c r="FYX300" s="208"/>
      <c r="FYY300" s="208"/>
      <c r="FYZ300" s="208"/>
      <c r="FZA300" s="208"/>
      <c r="FZB300" s="208"/>
      <c r="FZC300" s="208"/>
      <c r="FZD300" s="208"/>
      <c r="FZE300" s="208"/>
      <c r="FZF300" s="208"/>
      <c r="FZG300" s="208"/>
      <c r="FZH300" s="208"/>
      <c r="FZI300" s="208"/>
      <c r="FZJ300" s="208"/>
      <c r="FZK300" s="208"/>
      <c r="FZL300" s="208"/>
      <c r="FZM300" s="208"/>
      <c r="FZN300" s="208"/>
      <c r="FZO300" s="208"/>
      <c r="FZP300" s="208"/>
      <c r="FZQ300" s="208"/>
      <c r="FZR300" s="208"/>
      <c r="FZS300" s="208"/>
      <c r="FZT300" s="208"/>
      <c r="FZU300" s="208"/>
      <c r="FZV300" s="208"/>
      <c r="FZW300" s="208"/>
      <c r="FZX300" s="208"/>
      <c r="FZY300" s="208"/>
      <c r="FZZ300" s="208"/>
      <c r="GAA300" s="208"/>
      <c r="GAB300" s="208"/>
      <c r="GAC300" s="208"/>
      <c r="GAD300" s="208"/>
      <c r="GAE300" s="208"/>
      <c r="GAF300" s="208"/>
      <c r="GAG300" s="208"/>
      <c r="GAH300" s="208"/>
      <c r="GAI300" s="208"/>
      <c r="GAJ300" s="208"/>
      <c r="GAK300" s="208"/>
      <c r="GAL300" s="208"/>
      <c r="GAM300" s="208"/>
      <c r="GAN300" s="208"/>
      <c r="GAO300" s="208"/>
      <c r="GAP300" s="208"/>
      <c r="GAQ300" s="208"/>
      <c r="GAR300" s="208"/>
      <c r="GAS300" s="208"/>
      <c r="GAT300" s="208"/>
      <c r="GAU300" s="208"/>
      <c r="GAV300" s="208"/>
      <c r="GAW300" s="208"/>
      <c r="GAX300" s="208"/>
      <c r="GAY300" s="208"/>
      <c r="GAZ300" s="208"/>
      <c r="GBA300" s="208"/>
      <c r="GBB300" s="208"/>
      <c r="GBC300" s="208"/>
      <c r="GBD300" s="208"/>
      <c r="GBE300" s="208"/>
      <c r="GBF300" s="208"/>
      <c r="GBG300" s="208"/>
      <c r="GBH300" s="208"/>
      <c r="GBI300" s="208"/>
      <c r="GBJ300" s="208"/>
      <c r="GBK300" s="208"/>
      <c r="GBL300" s="208"/>
      <c r="GBM300" s="208"/>
      <c r="GBN300" s="208"/>
      <c r="GBO300" s="208"/>
      <c r="GBP300" s="208"/>
      <c r="GBQ300" s="208"/>
      <c r="GBR300" s="208"/>
      <c r="GBS300" s="208"/>
      <c r="GBT300" s="208"/>
      <c r="GBU300" s="208"/>
      <c r="GBV300" s="208"/>
      <c r="GBW300" s="208"/>
      <c r="GBX300" s="208"/>
      <c r="GBY300" s="208"/>
      <c r="GBZ300" s="208"/>
      <c r="GCA300" s="208"/>
      <c r="GCB300" s="208"/>
      <c r="GCC300" s="208"/>
      <c r="GCD300" s="208"/>
      <c r="GCE300" s="208"/>
      <c r="GCF300" s="208"/>
      <c r="GCG300" s="208"/>
      <c r="GCH300" s="208"/>
      <c r="GCI300" s="208"/>
      <c r="GCJ300" s="208"/>
      <c r="GCK300" s="208"/>
      <c r="GCL300" s="208"/>
      <c r="GCM300" s="208"/>
      <c r="GCN300" s="208"/>
      <c r="GCO300" s="208"/>
      <c r="GCP300" s="208"/>
      <c r="GCQ300" s="208"/>
      <c r="GCR300" s="208"/>
      <c r="GCS300" s="208"/>
      <c r="GCT300" s="208"/>
      <c r="GCU300" s="208"/>
      <c r="GCV300" s="208"/>
      <c r="GCW300" s="208"/>
      <c r="GCX300" s="208"/>
      <c r="GCY300" s="208"/>
      <c r="GCZ300" s="208"/>
      <c r="GDA300" s="208"/>
      <c r="GDB300" s="208"/>
      <c r="GDC300" s="208"/>
      <c r="GDD300" s="208"/>
      <c r="GDE300" s="208"/>
      <c r="GDF300" s="208"/>
      <c r="GDG300" s="208"/>
      <c r="GDH300" s="208"/>
      <c r="GDI300" s="208"/>
      <c r="GDJ300" s="208"/>
      <c r="GDK300" s="208"/>
      <c r="GDL300" s="208"/>
      <c r="GDM300" s="208"/>
      <c r="GDN300" s="208"/>
      <c r="GDO300" s="208"/>
      <c r="GDP300" s="208"/>
      <c r="GDQ300" s="208"/>
      <c r="GDR300" s="208"/>
      <c r="GDS300" s="208"/>
      <c r="GDT300" s="208"/>
      <c r="GDU300" s="208"/>
      <c r="GDV300" s="208"/>
      <c r="GDW300" s="208"/>
      <c r="GDX300" s="208"/>
      <c r="GDY300" s="208"/>
      <c r="GDZ300" s="208"/>
      <c r="GEA300" s="208"/>
      <c r="GEB300" s="208"/>
      <c r="GEC300" s="208"/>
      <c r="GED300" s="208"/>
      <c r="GEE300" s="208"/>
      <c r="GEF300" s="208"/>
      <c r="GEG300" s="208"/>
      <c r="GEH300" s="208"/>
      <c r="GEI300" s="208"/>
      <c r="GEJ300" s="208"/>
      <c r="GEK300" s="208"/>
      <c r="GEL300" s="208"/>
      <c r="GEM300" s="208"/>
      <c r="GEN300" s="208"/>
      <c r="GEO300" s="208"/>
      <c r="GEP300" s="208"/>
      <c r="GEQ300" s="208"/>
      <c r="GER300" s="208"/>
      <c r="GES300" s="208"/>
      <c r="GET300" s="208"/>
      <c r="GEU300" s="208"/>
      <c r="GEV300" s="208"/>
      <c r="GEW300" s="208"/>
      <c r="GEX300" s="208"/>
      <c r="GEY300" s="208"/>
      <c r="GEZ300" s="208"/>
      <c r="GFA300" s="208"/>
      <c r="GFB300" s="208"/>
      <c r="GFC300" s="208"/>
      <c r="GFD300" s="208"/>
      <c r="GFE300" s="208"/>
      <c r="GFF300" s="208"/>
      <c r="GFG300" s="208"/>
      <c r="GFH300" s="208"/>
      <c r="GFI300" s="208"/>
      <c r="GFJ300" s="208"/>
      <c r="GFK300" s="208"/>
      <c r="GFL300" s="208"/>
      <c r="GFM300" s="208"/>
      <c r="GFN300" s="208"/>
      <c r="GFO300" s="208"/>
      <c r="GFP300" s="208"/>
      <c r="GFQ300" s="208"/>
      <c r="GFR300" s="208"/>
      <c r="GFS300" s="208"/>
      <c r="GFT300" s="208"/>
      <c r="GFU300" s="208"/>
      <c r="GFV300" s="208"/>
      <c r="GFW300" s="208"/>
      <c r="GFX300" s="208"/>
      <c r="GFY300" s="208"/>
      <c r="GFZ300" s="208"/>
      <c r="GGA300" s="208"/>
      <c r="GGB300" s="208"/>
      <c r="GGC300" s="208"/>
      <c r="GGD300" s="208"/>
      <c r="GGE300" s="208"/>
      <c r="GGF300" s="208"/>
      <c r="GGG300" s="208"/>
      <c r="GGH300" s="208"/>
      <c r="GGI300" s="208"/>
      <c r="GGJ300" s="208"/>
      <c r="GGK300" s="208"/>
      <c r="GGL300" s="208"/>
      <c r="GGM300" s="208"/>
      <c r="GGN300" s="208"/>
      <c r="GGO300" s="208"/>
      <c r="GGP300" s="208"/>
      <c r="GGQ300" s="208"/>
      <c r="GGR300" s="208"/>
      <c r="GGS300" s="208"/>
      <c r="GGT300" s="208"/>
      <c r="GGU300" s="208"/>
      <c r="GGV300" s="208"/>
      <c r="GGW300" s="208"/>
      <c r="GGX300" s="208"/>
      <c r="GGY300" s="208"/>
      <c r="GGZ300" s="208"/>
      <c r="GHA300" s="208"/>
      <c r="GHB300" s="208"/>
      <c r="GHC300" s="208"/>
      <c r="GHD300" s="208"/>
      <c r="GHE300" s="208"/>
      <c r="GHF300" s="208"/>
      <c r="GHG300" s="208"/>
      <c r="GHH300" s="208"/>
      <c r="GHI300" s="208"/>
      <c r="GHJ300" s="208"/>
      <c r="GHK300" s="208"/>
      <c r="GHL300" s="208"/>
      <c r="GHM300" s="208"/>
      <c r="GHN300" s="208"/>
      <c r="GHO300" s="208"/>
      <c r="GHP300" s="208"/>
      <c r="GHQ300" s="208"/>
      <c r="GHR300" s="208"/>
      <c r="GHS300" s="208"/>
      <c r="GHT300" s="208"/>
      <c r="GHU300" s="208"/>
      <c r="GHV300" s="208"/>
      <c r="GHW300" s="208"/>
      <c r="GHX300" s="208"/>
      <c r="GHY300" s="208"/>
      <c r="GHZ300" s="208"/>
      <c r="GIA300" s="208"/>
      <c r="GIB300" s="208"/>
      <c r="GIC300" s="208"/>
      <c r="GID300" s="208"/>
      <c r="GIE300" s="208"/>
      <c r="GIF300" s="208"/>
      <c r="GIG300" s="208"/>
      <c r="GIH300" s="208"/>
      <c r="GII300" s="208"/>
      <c r="GIJ300" s="208"/>
      <c r="GIK300" s="208"/>
      <c r="GIL300" s="208"/>
      <c r="GIM300" s="208"/>
      <c r="GIN300" s="208"/>
      <c r="GIO300" s="208"/>
      <c r="GIP300" s="208"/>
      <c r="GIQ300" s="208"/>
      <c r="GIR300" s="208"/>
      <c r="GIS300" s="208"/>
      <c r="GIT300" s="208"/>
      <c r="GIU300" s="208"/>
      <c r="GIV300" s="208"/>
      <c r="GIW300" s="208"/>
      <c r="GIX300" s="208"/>
      <c r="GIY300" s="208"/>
      <c r="GIZ300" s="208"/>
      <c r="GJA300" s="208"/>
      <c r="GJB300" s="208"/>
      <c r="GJC300" s="208"/>
      <c r="GJD300" s="208"/>
      <c r="GJE300" s="208"/>
      <c r="GJF300" s="208"/>
      <c r="GJG300" s="208"/>
      <c r="GJH300" s="208"/>
      <c r="GJI300" s="208"/>
      <c r="GJJ300" s="208"/>
      <c r="GJK300" s="208"/>
      <c r="GJL300" s="208"/>
      <c r="GJM300" s="208"/>
      <c r="GJN300" s="208"/>
      <c r="GJO300" s="208"/>
      <c r="GJP300" s="208"/>
      <c r="GJQ300" s="208"/>
      <c r="GJR300" s="208"/>
      <c r="GJS300" s="208"/>
      <c r="GJT300" s="208"/>
      <c r="GJU300" s="208"/>
      <c r="GJV300" s="208"/>
      <c r="GJW300" s="208"/>
      <c r="GJX300" s="208"/>
      <c r="GJY300" s="208"/>
      <c r="GJZ300" s="208"/>
      <c r="GKA300" s="208"/>
      <c r="GKB300" s="208"/>
      <c r="GKC300" s="208"/>
      <c r="GKD300" s="208"/>
      <c r="GKE300" s="208"/>
      <c r="GKF300" s="208"/>
      <c r="GKG300" s="208"/>
      <c r="GKH300" s="208"/>
      <c r="GKI300" s="208"/>
      <c r="GKJ300" s="208"/>
      <c r="GKK300" s="208"/>
      <c r="GKL300" s="208"/>
      <c r="GKM300" s="208"/>
      <c r="GKN300" s="208"/>
      <c r="GKO300" s="208"/>
      <c r="GKP300" s="208"/>
      <c r="GKQ300" s="208"/>
      <c r="GKR300" s="208"/>
      <c r="GKS300" s="208"/>
      <c r="GKT300" s="208"/>
      <c r="GKU300" s="208"/>
      <c r="GKV300" s="208"/>
      <c r="GKW300" s="208"/>
      <c r="GKX300" s="208"/>
      <c r="GKY300" s="208"/>
      <c r="GKZ300" s="208"/>
      <c r="GLA300" s="208"/>
      <c r="GLB300" s="208"/>
      <c r="GLC300" s="208"/>
      <c r="GLD300" s="208"/>
      <c r="GLE300" s="208"/>
      <c r="GLF300" s="208"/>
      <c r="GLG300" s="208"/>
      <c r="GLH300" s="208"/>
      <c r="GLI300" s="208"/>
      <c r="GLJ300" s="208"/>
      <c r="GLK300" s="208"/>
      <c r="GLL300" s="208"/>
      <c r="GLM300" s="208"/>
      <c r="GLN300" s="208"/>
      <c r="GLO300" s="208"/>
      <c r="GLP300" s="208"/>
      <c r="GLQ300" s="208"/>
      <c r="GLR300" s="208"/>
      <c r="GLS300" s="208"/>
      <c r="GLT300" s="208"/>
      <c r="GLU300" s="208"/>
      <c r="GLV300" s="208"/>
      <c r="GLW300" s="208"/>
      <c r="GLX300" s="208"/>
      <c r="GLY300" s="208"/>
      <c r="GLZ300" s="208"/>
      <c r="GMA300" s="208"/>
      <c r="GMB300" s="208"/>
      <c r="GMC300" s="208"/>
      <c r="GMD300" s="208"/>
      <c r="GME300" s="208"/>
      <c r="GMF300" s="208"/>
      <c r="GMG300" s="208"/>
      <c r="GMH300" s="208"/>
      <c r="GMI300" s="208"/>
      <c r="GMJ300" s="208"/>
      <c r="GMK300" s="208"/>
      <c r="GML300" s="208"/>
      <c r="GMM300" s="208"/>
      <c r="GMN300" s="208"/>
      <c r="GMO300" s="208"/>
      <c r="GMP300" s="208"/>
      <c r="GMQ300" s="208"/>
      <c r="GMR300" s="208"/>
      <c r="GMS300" s="208"/>
      <c r="GMT300" s="208"/>
      <c r="GMU300" s="208"/>
      <c r="GMV300" s="208"/>
      <c r="GMW300" s="208"/>
      <c r="GMX300" s="208"/>
      <c r="GMY300" s="208"/>
      <c r="GMZ300" s="208"/>
      <c r="GNA300" s="208"/>
      <c r="GNB300" s="208"/>
      <c r="GNC300" s="208"/>
      <c r="GND300" s="208"/>
      <c r="GNE300" s="208"/>
      <c r="GNF300" s="208"/>
      <c r="GNG300" s="208"/>
      <c r="GNH300" s="208"/>
      <c r="GNI300" s="208"/>
      <c r="GNJ300" s="208"/>
      <c r="GNK300" s="208"/>
      <c r="GNL300" s="208"/>
      <c r="GNM300" s="208"/>
      <c r="GNN300" s="208"/>
      <c r="GNO300" s="208"/>
      <c r="GNP300" s="208"/>
      <c r="GNQ300" s="208"/>
      <c r="GNR300" s="208"/>
      <c r="GNS300" s="208"/>
      <c r="GNT300" s="208"/>
      <c r="GNU300" s="208"/>
      <c r="GNV300" s="208"/>
      <c r="GNW300" s="208"/>
      <c r="GNX300" s="208"/>
      <c r="GNY300" s="208"/>
      <c r="GNZ300" s="208"/>
      <c r="GOA300" s="208"/>
      <c r="GOB300" s="208"/>
      <c r="GOC300" s="208"/>
      <c r="GOD300" s="208"/>
      <c r="GOE300" s="208"/>
      <c r="GOF300" s="208"/>
      <c r="GOG300" s="208"/>
      <c r="GOH300" s="208"/>
      <c r="GOI300" s="208"/>
      <c r="GOJ300" s="208"/>
      <c r="GOK300" s="208"/>
      <c r="GOL300" s="208"/>
      <c r="GOM300" s="208"/>
      <c r="GON300" s="208"/>
      <c r="GOO300" s="208"/>
      <c r="GOP300" s="208"/>
      <c r="GOQ300" s="208"/>
      <c r="GOR300" s="208"/>
      <c r="GOS300" s="208"/>
      <c r="GOT300" s="208"/>
      <c r="GOU300" s="208"/>
      <c r="GOV300" s="208"/>
      <c r="GOW300" s="208"/>
      <c r="GOX300" s="208"/>
      <c r="GOY300" s="208"/>
      <c r="GOZ300" s="208"/>
      <c r="GPA300" s="208"/>
      <c r="GPB300" s="208"/>
      <c r="GPC300" s="208"/>
      <c r="GPD300" s="208"/>
      <c r="GPE300" s="208"/>
      <c r="GPF300" s="208"/>
      <c r="GPG300" s="208"/>
      <c r="GPH300" s="208"/>
      <c r="GPI300" s="208"/>
      <c r="GPJ300" s="208"/>
      <c r="GPK300" s="208"/>
      <c r="GPL300" s="208"/>
      <c r="GPM300" s="208"/>
      <c r="GPN300" s="208"/>
      <c r="GPO300" s="208"/>
      <c r="GPP300" s="208"/>
      <c r="GPQ300" s="208"/>
      <c r="GPR300" s="208"/>
      <c r="GPS300" s="208"/>
      <c r="GPT300" s="208"/>
      <c r="GPU300" s="208"/>
      <c r="GPV300" s="208"/>
      <c r="GPW300" s="208"/>
      <c r="GPX300" s="208"/>
      <c r="GPY300" s="208"/>
      <c r="GPZ300" s="208"/>
      <c r="GQA300" s="208"/>
      <c r="GQB300" s="208"/>
      <c r="GQC300" s="208"/>
      <c r="GQD300" s="208"/>
      <c r="GQE300" s="208"/>
      <c r="GQF300" s="208"/>
      <c r="GQG300" s="208"/>
      <c r="GQH300" s="208"/>
      <c r="GQI300" s="208"/>
      <c r="GQJ300" s="208"/>
      <c r="GQK300" s="208"/>
      <c r="GQL300" s="208"/>
      <c r="GQM300" s="208"/>
      <c r="GQN300" s="208"/>
      <c r="GQO300" s="208"/>
      <c r="GQP300" s="208"/>
      <c r="GQQ300" s="208"/>
      <c r="GQR300" s="208"/>
      <c r="GQS300" s="208"/>
      <c r="GQT300" s="208"/>
      <c r="GQU300" s="208"/>
      <c r="GQV300" s="208"/>
      <c r="GQW300" s="208"/>
      <c r="GQX300" s="208"/>
      <c r="GQY300" s="208"/>
      <c r="GQZ300" s="208"/>
      <c r="GRA300" s="208"/>
      <c r="GRB300" s="208"/>
      <c r="GRC300" s="208"/>
      <c r="GRD300" s="208"/>
      <c r="GRE300" s="208"/>
      <c r="GRF300" s="208"/>
      <c r="GRG300" s="208"/>
      <c r="GRH300" s="208"/>
      <c r="GRI300" s="208"/>
      <c r="GRJ300" s="208"/>
      <c r="GRK300" s="208"/>
      <c r="GRL300" s="208"/>
      <c r="GRM300" s="208"/>
      <c r="GRN300" s="208"/>
      <c r="GRO300" s="208"/>
      <c r="GRP300" s="208"/>
      <c r="GRQ300" s="208"/>
      <c r="GRR300" s="208"/>
      <c r="GRS300" s="208"/>
      <c r="GRT300" s="208"/>
      <c r="GRU300" s="208"/>
      <c r="GRV300" s="208"/>
      <c r="GRW300" s="208"/>
      <c r="GRX300" s="208"/>
      <c r="GRY300" s="208"/>
      <c r="GRZ300" s="208"/>
      <c r="GSA300" s="208"/>
      <c r="GSB300" s="208"/>
      <c r="GSC300" s="208"/>
      <c r="GSD300" s="208"/>
      <c r="GSE300" s="208"/>
      <c r="GSF300" s="208"/>
      <c r="GSG300" s="208"/>
      <c r="GSH300" s="208"/>
      <c r="GSI300" s="208"/>
      <c r="GSJ300" s="208"/>
      <c r="GSK300" s="208"/>
      <c r="GSL300" s="208"/>
      <c r="GSM300" s="208"/>
      <c r="GSN300" s="208"/>
      <c r="GSO300" s="208"/>
      <c r="GSP300" s="208"/>
      <c r="GSQ300" s="208"/>
      <c r="GSR300" s="208"/>
      <c r="GSS300" s="208"/>
      <c r="GST300" s="208"/>
      <c r="GSU300" s="208"/>
      <c r="GSV300" s="208"/>
      <c r="GSW300" s="208"/>
      <c r="GSX300" s="208"/>
      <c r="GSY300" s="208"/>
      <c r="GSZ300" s="208"/>
      <c r="GTA300" s="208"/>
      <c r="GTB300" s="208"/>
      <c r="GTC300" s="208"/>
      <c r="GTD300" s="208"/>
      <c r="GTE300" s="208"/>
      <c r="GTF300" s="208"/>
      <c r="GTG300" s="208"/>
      <c r="GTH300" s="208"/>
      <c r="GTI300" s="208"/>
      <c r="GTJ300" s="208"/>
      <c r="GTK300" s="208"/>
      <c r="GTL300" s="208"/>
      <c r="GTM300" s="208"/>
      <c r="GTN300" s="208"/>
      <c r="GTO300" s="208"/>
      <c r="GTP300" s="208"/>
      <c r="GTQ300" s="208"/>
      <c r="GTR300" s="208"/>
      <c r="GTS300" s="208"/>
      <c r="GTT300" s="208"/>
      <c r="GTU300" s="208"/>
      <c r="GTV300" s="208"/>
      <c r="GTW300" s="208"/>
      <c r="GTX300" s="208"/>
      <c r="GTY300" s="208"/>
      <c r="GTZ300" s="208"/>
      <c r="GUA300" s="208"/>
      <c r="GUB300" s="208"/>
      <c r="GUC300" s="208"/>
      <c r="GUD300" s="208"/>
      <c r="GUE300" s="208"/>
      <c r="GUF300" s="208"/>
      <c r="GUG300" s="208"/>
      <c r="GUH300" s="208"/>
      <c r="GUI300" s="208"/>
      <c r="GUJ300" s="208"/>
      <c r="GUK300" s="208"/>
      <c r="GUL300" s="208"/>
      <c r="GUM300" s="208"/>
      <c r="GUN300" s="208"/>
      <c r="GUO300" s="208"/>
      <c r="GUP300" s="208"/>
      <c r="GUQ300" s="208"/>
      <c r="GUR300" s="208"/>
      <c r="GUS300" s="208"/>
      <c r="GUT300" s="208"/>
      <c r="GUU300" s="208"/>
      <c r="GUV300" s="208"/>
      <c r="GUW300" s="208"/>
      <c r="GUX300" s="208"/>
      <c r="GUY300" s="208"/>
      <c r="GUZ300" s="208"/>
      <c r="GVA300" s="208"/>
      <c r="GVB300" s="208"/>
      <c r="GVC300" s="208"/>
      <c r="GVD300" s="208"/>
      <c r="GVE300" s="208"/>
      <c r="GVF300" s="208"/>
      <c r="GVG300" s="208"/>
      <c r="GVH300" s="208"/>
      <c r="GVI300" s="208"/>
      <c r="GVJ300" s="208"/>
      <c r="GVK300" s="208"/>
      <c r="GVL300" s="208"/>
      <c r="GVM300" s="208"/>
      <c r="GVN300" s="208"/>
      <c r="GVO300" s="208"/>
      <c r="GVP300" s="208"/>
      <c r="GVQ300" s="208"/>
      <c r="GVR300" s="208"/>
      <c r="GVS300" s="208"/>
      <c r="GVT300" s="208"/>
      <c r="GVU300" s="208"/>
      <c r="GVV300" s="208"/>
      <c r="GVW300" s="208"/>
      <c r="GVX300" s="208"/>
      <c r="GVY300" s="208"/>
      <c r="GVZ300" s="208"/>
      <c r="GWA300" s="208"/>
      <c r="GWB300" s="208"/>
      <c r="GWC300" s="208"/>
      <c r="GWD300" s="208"/>
      <c r="GWE300" s="208"/>
      <c r="GWF300" s="208"/>
      <c r="GWG300" s="208"/>
      <c r="GWH300" s="208"/>
      <c r="GWI300" s="208"/>
      <c r="GWJ300" s="208"/>
      <c r="GWK300" s="208"/>
      <c r="GWL300" s="208"/>
      <c r="GWM300" s="208"/>
      <c r="GWN300" s="208"/>
      <c r="GWO300" s="208"/>
      <c r="GWP300" s="208"/>
      <c r="GWQ300" s="208"/>
      <c r="GWR300" s="208"/>
      <c r="GWS300" s="208"/>
      <c r="GWT300" s="208"/>
      <c r="GWU300" s="208"/>
      <c r="GWV300" s="208"/>
      <c r="GWW300" s="208"/>
      <c r="GWX300" s="208"/>
      <c r="GWY300" s="208"/>
      <c r="GWZ300" s="208"/>
      <c r="GXA300" s="208"/>
      <c r="GXB300" s="208"/>
      <c r="GXC300" s="208"/>
      <c r="GXD300" s="208"/>
      <c r="GXE300" s="208"/>
      <c r="GXF300" s="208"/>
      <c r="GXG300" s="208"/>
      <c r="GXH300" s="208"/>
      <c r="GXI300" s="208"/>
      <c r="GXJ300" s="208"/>
      <c r="GXK300" s="208"/>
      <c r="GXL300" s="208"/>
      <c r="GXM300" s="208"/>
      <c r="GXN300" s="208"/>
      <c r="GXO300" s="208"/>
      <c r="GXP300" s="208"/>
      <c r="GXQ300" s="208"/>
      <c r="GXR300" s="208"/>
      <c r="GXS300" s="208"/>
      <c r="GXT300" s="208"/>
      <c r="GXU300" s="208"/>
      <c r="GXV300" s="208"/>
      <c r="GXW300" s="208"/>
      <c r="GXX300" s="208"/>
      <c r="GXY300" s="208"/>
      <c r="GXZ300" s="208"/>
      <c r="GYA300" s="208"/>
      <c r="GYB300" s="208"/>
      <c r="GYC300" s="208"/>
      <c r="GYD300" s="208"/>
      <c r="GYE300" s="208"/>
      <c r="GYF300" s="208"/>
      <c r="GYG300" s="208"/>
      <c r="GYH300" s="208"/>
      <c r="GYI300" s="208"/>
      <c r="GYJ300" s="208"/>
      <c r="GYK300" s="208"/>
      <c r="GYL300" s="208"/>
      <c r="GYM300" s="208"/>
      <c r="GYN300" s="208"/>
      <c r="GYO300" s="208"/>
      <c r="GYP300" s="208"/>
      <c r="GYQ300" s="208"/>
      <c r="GYR300" s="208"/>
      <c r="GYS300" s="208"/>
      <c r="GYT300" s="208"/>
      <c r="GYU300" s="208"/>
      <c r="GYV300" s="208"/>
      <c r="GYW300" s="208"/>
      <c r="GYX300" s="208"/>
      <c r="GYY300" s="208"/>
      <c r="GYZ300" s="208"/>
      <c r="GZA300" s="208"/>
      <c r="GZB300" s="208"/>
      <c r="GZC300" s="208"/>
      <c r="GZD300" s="208"/>
      <c r="GZE300" s="208"/>
      <c r="GZF300" s="208"/>
      <c r="GZG300" s="208"/>
      <c r="GZH300" s="208"/>
      <c r="GZI300" s="208"/>
      <c r="GZJ300" s="208"/>
      <c r="GZK300" s="208"/>
      <c r="GZL300" s="208"/>
      <c r="GZM300" s="208"/>
      <c r="GZN300" s="208"/>
      <c r="GZO300" s="208"/>
      <c r="GZP300" s="208"/>
      <c r="GZQ300" s="208"/>
      <c r="GZR300" s="208"/>
      <c r="GZS300" s="208"/>
      <c r="GZT300" s="208"/>
      <c r="GZU300" s="208"/>
      <c r="GZV300" s="208"/>
      <c r="GZW300" s="208"/>
      <c r="GZX300" s="208"/>
      <c r="GZY300" s="208"/>
      <c r="GZZ300" s="208"/>
      <c r="HAA300" s="208"/>
      <c r="HAB300" s="208"/>
      <c r="HAC300" s="208"/>
      <c r="HAD300" s="208"/>
      <c r="HAE300" s="208"/>
      <c r="HAF300" s="208"/>
      <c r="HAG300" s="208"/>
      <c r="HAH300" s="208"/>
      <c r="HAI300" s="208"/>
      <c r="HAJ300" s="208"/>
      <c r="HAK300" s="208"/>
      <c r="HAL300" s="208"/>
      <c r="HAM300" s="208"/>
      <c r="HAN300" s="208"/>
      <c r="HAO300" s="208"/>
      <c r="HAP300" s="208"/>
      <c r="HAQ300" s="208"/>
      <c r="HAR300" s="208"/>
      <c r="HAS300" s="208"/>
      <c r="HAT300" s="208"/>
      <c r="HAU300" s="208"/>
      <c r="HAV300" s="208"/>
      <c r="HAW300" s="208"/>
      <c r="HAX300" s="208"/>
      <c r="HAY300" s="208"/>
      <c r="HAZ300" s="208"/>
      <c r="HBA300" s="208"/>
      <c r="HBB300" s="208"/>
      <c r="HBC300" s="208"/>
      <c r="HBD300" s="208"/>
      <c r="HBE300" s="208"/>
      <c r="HBF300" s="208"/>
      <c r="HBG300" s="208"/>
      <c r="HBH300" s="208"/>
      <c r="HBI300" s="208"/>
      <c r="HBJ300" s="208"/>
      <c r="HBK300" s="208"/>
      <c r="HBL300" s="208"/>
      <c r="HBM300" s="208"/>
      <c r="HBN300" s="208"/>
      <c r="HBO300" s="208"/>
      <c r="HBP300" s="208"/>
      <c r="HBQ300" s="208"/>
      <c r="HBR300" s="208"/>
      <c r="HBS300" s="208"/>
      <c r="HBT300" s="208"/>
      <c r="HBU300" s="208"/>
      <c r="HBV300" s="208"/>
      <c r="HBW300" s="208"/>
      <c r="HBX300" s="208"/>
      <c r="HBY300" s="208"/>
      <c r="HBZ300" s="208"/>
      <c r="HCA300" s="208"/>
      <c r="HCB300" s="208"/>
      <c r="HCC300" s="208"/>
      <c r="HCD300" s="208"/>
      <c r="HCE300" s="208"/>
      <c r="HCF300" s="208"/>
      <c r="HCG300" s="208"/>
      <c r="HCH300" s="208"/>
      <c r="HCI300" s="208"/>
      <c r="HCJ300" s="208"/>
      <c r="HCK300" s="208"/>
      <c r="HCL300" s="208"/>
      <c r="HCM300" s="208"/>
      <c r="HCN300" s="208"/>
      <c r="HCO300" s="208"/>
      <c r="HCP300" s="208"/>
      <c r="HCQ300" s="208"/>
      <c r="HCR300" s="208"/>
      <c r="HCS300" s="208"/>
      <c r="HCT300" s="208"/>
      <c r="HCU300" s="208"/>
      <c r="HCV300" s="208"/>
      <c r="HCW300" s="208"/>
      <c r="HCX300" s="208"/>
      <c r="HCY300" s="208"/>
      <c r="HCZ300" s="208"/>
      <c r="HDA300" s="208"/>
      <c r="HDB300" s="208"/>
      <c r="HDC300" s="208"/>
      <c r="HDD300" s="208"/>
      <c r="HDE300" s="208"/>
      <c r="HDF300" s="208"/>
      <c r="HDG300" s="208"/>
      <c r="HDH300" s="208"/>
      <c r="HDI300" s="208"/>
      <c r="HDJ300" s="208"/>
      <c r="HDK300" s="208"/>
      <c r="HDL300" s="208"/>
      <c r="HDM300" s="208"/>
      <c r="HDN300" s="208"/>
      <c r="HDO300" s="208"/>
      <c r="HDP300" s="208"/>
      <c r="HDQ300" s="208"/>
      <c r="HDR300" s="208"/>
      <c r="HDS300" s="208"/>
      <c r="HDT300" s="208"/>
      <c r="HDU300" s="208"/>
      <c r="HDV300" s="208"/>
      <c r="HDW300" s="208"/>
      <c r="HDX300" s="208"/>
      <c r="HDY300" s="208"/>
      <c r="HDZ300" s="208"/>
      <c r="HEA300" s="208"/>
      <c r="HEB300" s="208"/>
      <c r="HEC300" s="208"/>
      <c r="HED300" s="208"/>
      <c r="HEE300" s="208"/>
      <c r="HEF300" s="208"/>
      <c r="HEG300" s="208"/>
      <c r="HEH300" s="208"/>
      <c r="HEI300" s="208"/>
      <c r="HEJ300" s="208"/>
      <c r="HEK300" s="208"/>
      <c r="HEL300" s="208"/>
      <c r="HEM300" s="208"/>
      <c r="HEN300" s="208"/>
      <c r="HEO300" s="208"/>
      <c r="HEP300" s="208"/>
      <c r="HEQ300" s="208"/>
      <c r="HER300" s="208"/>
      <c r="HES300" s="208"/>
      <c r="HET300" s="208"/>
      <c r="HEU300" s="208"/>
      <c r="HEV300" s="208"/>
      <c r="HEW300" s="208"/>
      <c r="HEX300" s="208"/>
      <c r="HEY300" s="208"/>
      <c r="HEZ300" s="208"/>
      <c r="HFA300" s="208"/>
      <c r="HFB300" s="208"/>
      <c r="HFC300" s="208"/>
      <c r="HFD300" s="208"/>
      <c r="HFE300" s="208"/>
      <c r="HFF300" s="208"/>
      <c r="HFG300" s="208"/>
      <c r="HFH300" s="208"/>
      <c r="HFI300" s="208"/>
      <c r="HFJ300" s="208"/>
      <c r="HFK300" s="208"/>
      <c r="HFL300" s="208"/>
      <c r="HFM300" s="208"/>
      <c r="HFN300" s="208"/>
      <c r="HFO300" s="208"/>
      <c r="HFP300" s="208"/>
      <c r="HFQ300" s="208"/>
      <c r="HFR300" s="208"/>
      <c r="HFS300" s="208"/>
      <c r="HFT300" s="208"/>
      <c r="HFU300" s="208"/>
      <c r="HFV300" s="208"/>
      <c r="HFW300" s="208"/>
      <c r="HFX300" s="208"/>
      <c r="HFY300" s="208"/>
      <c r="HFZ300" s="208"/>
      <c r="HGA300" s="208"/>
      <c r="HGB300" s="208"/>
      <c r="HGC300" s="208"/>
      <c r="HGD300" s="208"/>
      <c r="HGE300" s="208"/>
      <c r="HGF300" s="208"/>
      <c r="HGG300" s="208"/>
      <c r="HGH300" s="208"/>
      <c r="HGI300" s="208"/>
      <c r="HGJ300" s="208"/>
      <c r="HGK300" s="208"/>
      <c r="HGL300" s="208"/>
      <c r="HGM300" s="208"/>
      <c r="HGN300" s="208"/>
      <c r="HGO300" s="208"/>
      <c r="HGP300" s="208"/>
      <c r="HGQ300" s="208"/>
      <c r="HGR300" s="208"/>
      <c r="HGS300" s="208"/>
      <c r="HGT300" s="208"/>
      <c r="HGU300" s="208"/>
      <c r="HGV300" s="208"/>
      <c r="HGW300" s="208"/>
      <c r="HGX300" s="208"/>
      <c r="HGY300" s="208"/>
      <c r="HGZ300" s="208"/>
      <c r="HHA300" s="208"/>
      <c r="HHB300" s="208"/>
      <c r="HHC300" s="208"/>
      <c r="HHD300" s="208"/>
      <c r="HHE300" s="208"/>
      <c r="HHF300" s="208"/>
      <c r="HHG300" s="208"/>
      <c r="HHH300" s="208"/>
      <c r="HHI300" s="208"/>
      <c r="HHJ300" s="208"/>
      <c r="HHK300" s="208"/>
      <c r="HHL300" s="208"/>
      <c r="HHM300" s="208"/>
      <c r="HHN300" s="208"/>
      <c r="HHO300" s="208"/>
      <c r="HHP300" s="208"/>
      <c r="HHQ300" s="208"/>
      <c r="HHR300" s="208"/>
      <c r="HHS300" s="208"/>
      <c r="HHT300" s="208"/>
      <c r="HHU300" s="208"/>
      <c r="HHV300" s="208"/>
      <c r="HHW300" s="208"/>
      <c r="HHX300" s="208"/>
      <c r="HHY300" s="208"/>
      <c r="HHZ300" s="208"/>
      <c r="HIA300" s="208"/>
      <c r="HIB300" s="208"/>
      <c r="HIC300" s="208"/>
      <c r="HID300" s="208"/>
      <c r="HIE300" s="208"/>
      <c r="HIF300" s="208"/>
      <c r="HIG300" s="208"/>
      <c r="HIH300" s="208"/>
      <c r="HII300" s="208"/>
      <c r="HIJ300" s="208"/>
      <c r="HIK300" s="208"/>
      <c r="HIL300" s="208"/>
      <c r="HIM300" s="208"/>
      <c r="HIN300" s="208"/>
      <c r="HIO300" s="208"/>
      <c r="HIP300" s="208"/>
      <c r="HIQ300" s="208"/>
      <c r="HIR300" s="208"/>
      <c r="HIS300" s="208"/>
      <c r="HIT300" s="208"/>
      <c r="HIU300" s="208"/>
      <c r="HIV300" s="208"/>
      <c r="HIW300" s="208"/>
      <c r="HIX300" s="208"/>
      <c r="HIY300" s="208"/>
      <c r="HIZ300" s="208"/>
      <c r="HJA300" s="208"/>
      <c r="HJB300" s="208"/>
      <c r="HJC300" s="208"/>
      <c r="HJD300" s="208"/>
      <c r="HJE300" s="208"/>
      <c r="HJF300" s="208"/>
      <c r="HJG300" s="208"/>
      <c r="HJH300" s="208"/>
      <c r="HJI300" s="208"/>
      <c r="HJJ300" s="208"/>
      <c r="HJK300" s="208"/>
      <c r="HJL300" s="208"/>
      <c r="HJM300" s="208"/>
      <c r="HJN300" s="208"/>
      <c r="HJO300" s="208"/>
      <c r="HJP300" s="208"/>
      <c r="HJQ300" s="208"/>
      <c r="HJR300" s="208"/>
      <c r="HJS300" s="208"/>
      <c r="HJT300" s="208"/>
      <c r="HJU300" s="208"/>
      <c r="HJV300" s="208"/>
      <c r="HJW300" s="208"/>
      <c r="HJX300" s="208"/>
      <c r="HJY300" s="208"/>
      <c r="HJZ300" s="208"/>
      <c r="HKA300" s="208"/>
      <c r="HKB300" s="208"/>
      <c r="HKC300" s="208"/>
      <c r="HKD300" s="208"/>
      <c r="HKE300" s="208"/>
      <c r="HKF300" s="208"/>
      <c r="HKG300" s="208"/>
      <c r="HKH300" s="208"/>
      <c r="HKI300" s="208"/>
      <c r="HKJ300" s="208"/>
      <c r="HKK300" s="208"/>
      <c r="HKL300" s="208"/>
      <c r="HKM300" s="208"/>
      <c r="HKN300" s="208"/>
      <c r="HKO300" s="208"/>
      <c r="HKP300" s="208"/>
      <c r="HKQ300" s="208"/>
      <c r="HKR300" s="208"/>
      <c r="HKS300" s="208"/>
      <c r="HKT300" s="208"/>
      <c r="HKU300" s="208"/>
      <c r="HKV300" s="208"/>
      <c r="HKW300" s="208"/>
      <c r="HKX300" s="208"/>
      <c r="HKY300" s="208"/>
      <c r="HKZ300" s="208"/>
      <c r="HLA300" s="208"/>
      <c r="HLB300" s="208"/>
      <c r="HLC300" s="208"/>
      <c r="HLD300" s="208"/>
      <c r="HLE300" s="208"/>
      <c r="HLF300" s="208"/>
      <c r="HLG300" s="208"/>
      <c r="HLH300" s="208"/>
      <c r="HLI300" s="208"/>
      <c r="HLJ300" s="208"/>
      <c r="HLK300" s="208"/>
      <c r="HLL300" s="208"/>
      <c r="HLM300" s="208"/>
      <c r="HLN300" s="208"/>
      <c r="HLO300" s="208"/>
      <c r="HLP300" s="208"/>
      <c r="HLQ300" s="208"/>
      <c r="HLR300" s="208"/>
      <c r="HLS300" s="208"/>
      <c r="HLT300" s="208"/>
      <c r="HLU300" s="208"/>
      <c r="HLV300" s="208"/>
      <c r="HLW300" s="208"/>
      <c r="HLX300" s="208"/>
      <c r="HLY300" s="208"/>
      <c r="HLZ300" s="208"/>
      <c r="HMA300" s="208"/>
      <c r="HMB300" s="208"/>
      <c r="HMC300" s="208"/>
      <c r="HMD300" s="208"/>
      <c r="HME300" s="208"/>
      <c r="HMF300" s="208"/>
      <c r="HMG300" s="208"/>
      <c r="HMH300" s="208"/>
      <c r="HMI300" s="208"/>
      <c r="HMJ300" s="208"/>
      <c r="HMK300" s="208"/>
      <c r="HML300" s="208"/>
      <c r="HMM300" s="208"/>
      <c r="HMN300" s="208"/>
      <c r="HMO300" s="208"/>
      <c r="HMP300" s="208"/>
      <c r="HMQ300" s="208"/>
      <c r="HMR300" s="208"/>
      <c r="HMS300" s="208"/>
      <c r="HMT300" s="208"/>
      <c r="HMU300" s="208"/>
      <c r="HMV300" s="208"/>
      <c r="HMW300" s="208"/>
      <c r="HMX300" s="208"/>
      <c r="HMY300" s="208"/>
      <c r="HMZ300" s="208"/>
      <c r="HNA300" s="208"/>
      <c r="HNB300" s="208"/>
      <c r="HNC300" s="208"/>
      <c r="HND300" s="208"/>
      <c r="HNE300" s="208"/>
      <c r="HNF300" s="208"/>
      <c r="HNG300" s="208"/>
      <c r="HNH300" s="208"/>
      <c r="HNI300" s="208"/>
      <c r="HNJ300" s="208"/>
      <c r="HNK300" s="208"/>
      <c r="HNL300" s="208"/>
      <c r="HNM300" s="208"/>
      <c r="HNN300" s="208"/>
      <c r="HNO300" s="208"/>
      <c r="HNP300" s="208"/>
      <c r="HNQ300" s="208"/>
      <c r="HNR300" s="208"/>
      <c r="HNS300" s="208"/>
      <c r="HNT300" s="208"/>
      <c r="HNU300" s="208"/>
      <c r="HNV300" s="208"/>
      <c r="HNW300" s="208"/>
      <c r="HNX300" s="208"/>
      <c r="HNY300" s="208"/>
      <c r="HNZ300" s="208"/>
      <c r="HOA300" s="208"/>
      <c r="HOB300" s="208"/>
      <c r="HOC300" s="208"/>
      <c r="HOD300" s="208"/>
      <c r="HOE300" s="208"/>
      <c r="HOF300" s="208"/>
      <c r="HOG300" s="208"/>
      <c r="HOH300" s="208"/>
      <c r="HOI300" s="208"/>
      <c r="HOJ300" s="208"/>
      <c r="HOK300" s="208"/>
      <c r="HOL300" s="208"/>
      <c r="HOM300" s="208"/>
      <c r="HON300" s="208"/>
      <c r="HOO300" s="208"/>
      <c r="HOP300" s="208"/>
      <c r="HOQ300" s="208"/>
      <c r="HOR300" s="208"/>
      <c r="HOS300" s="208"/>
      <c r="HOT300" s="208"/>
      <c r="HOU300" s="208"/>
      <c r="HOV300" s="208"/>
      <c r="HOW300" s="208"/>
      <c r="HOX300" s="208"/>
      <c r="HOY300" s="208"/>
      <c r="HOZ300" s="208"/>
      <c r="HPA300" s="208"/>
      <c r="HPB300" s="208"/>
      <c r="HPC300" s="208"/>
      <c r="HPD300" s="208"/>
      <c r="HPE300" s="208"/>
      <c r="HPF300" s="208"/>
      <c r="HPG300" s="208"/>
      <c r="HPH300" s="208"/>
      <c r="HPI300" s="208"/>
      <c r="HPJ300" s="208"/>
      <c r="HPK300" s="208"/>
      <c r="HPL300" s="208"/>
      <c r="HPM300" s="208"/>
      <c r="HPN300" s="208"/>
      <c r="HPO300" s="208"/>
      <c r="HPP300" s="208"/>
      <c r="HPQ300" s="208"/>
      <c r="HPR300" s="208"/>
      <c r="HPS300" s="208"/>
      <c r="HPT300" s="208"/>
      <c r="HPU300" s="208"/>
      <c r="HPV300" s="208"/>
      <c r="HPW300" s="208"/>
      <c r="HPX300" s="208"/>
      <c r="HPY300" s="208"/>
      <c r="HPZ300" s="208"/>
      <c r="HQA300" s="208"/>
      <c r="HQB300" s="208"/>
      <c r="HQC300" s="208"/>
      <c r="HQD300" s="208"/>
      <c r="HQE300" s="208"/>
      <c r="HQF300" s="208"/>
      <c r="HQG300" s="208"/>
      <c r="HQH300" s="208"/>
      <c r="HQI300" s="208"/>
      <c r="HQJ300" s="208"/>
      <c r="HQK300" s="208"/>
      <c r="HQL300" s="208"/>
      <c r="HQM300" s="208"/>
      <c r="HQN300" s="208"/>
      <c r="HQO300" s="208"/>
      <c r="HQP300" s="208"/>
      <c r="HQQ300" s="208"/>
      <c r="HQR300" s="208"/>
      <c r="HQS300" s="208"/>
      <c r="HQT300" s="208"/>
      <c r="HQU300" s="208"/>
      <c r="HQV300" s="208"/>
      <c r="HQW300" s="208"/>
      <c r="HQX300" s="208"/>
      <c r="HQY300" s="208"/>
      <c r="HQZ300" s="208"/>
      <c r="HRA300" s="208"/>
      <c r="HRB300" s="208"/>
      <c r="HRC300" s="208"/>
      <c r="HRD300" s="208"/>
      <c r="HRE300" s="208"/>
      <c r="HRF300" s="208"/>
      <c r="HRG300" s="208"/>
      <c r="HRH300" s="208"/>
      <c r="HRI300" s="208"/>
      <c r="HRJ300" s="208"/>
      <c r="HRK300" s="208"/>
      <c r="HRL300" s="208"/>
      <c r="HRM300" s="208"/>
      <c r="HRN300" s="208"/>
      <c r="HRO300" s="208"/>
      <c r="HRP300" s="208"/>
      <c r="HRQ300" s="208"/>
      <c r="HRR300" s="208"/>
      <c r="HRS300" s="208"/>
      <c r="HRT300" s="208"/>
      <c r="HRU300" s="208"/>
      <c r="HRV300" s="208"/>
      <c r="HRW300" s="208"/>
      <c r="HRX300" s="208"/>
      <c r="HRY300" s="208"/>
      <c r="HRZ300" s="208"/>
      <c r="HSA300" s="208"/>
      <c r="HSB300" s="208"/>
      <c r="HSC300" s="208"/>
      <c r="HSD300" s="208"/>
      <c r="HSE300" s="208"/>
      <c r="HSF300" s="208"/>
      <c r="HSG300" s="208"/>
      <c r="HSH300" s="208"/>
      <c r="HSI300" s="208"/>
      <c r="HSJ300" s="208"/>
      <c r="HSK300" s="208"/>
      <c r="HSL300" s="208"/>
      <c r="HSM300" s="208"/>
      <c r="HSN300" s="208"/>
      <c r="HSO300" s="208"/>
      <c r="HSP300" s="208"/>
      <c r="HSQ300" s="208"/>
      <c r="HSR300" s="208"/>
      <c r="HSS300" s="208"/>
      <c r="HST300" s="208"/>
      <c r="HSU300" s="208"/>
      <c r="HSV300" s="208"/>
      <c r="HSW300" s="208"/>
      <c r="HSX300" s="208"/>
      <c r="HSY300" s="208"/>
      <c r="HSZ300" s="208"/>
      <c r="HTA300" s="208"/>
      <c r="HTB300" s="208"/>
      <c r="HTC300" s="208"/>
      <c r="HTD300" s="208"/>
      <c r="HTE300" s="208"/>
      <c r="HTF300" s="208"/>
      <c r="HTG300" s="208"/>
      <c r="HTH300" s="208"/>
      <c r="HTI300" s="208"/>
      <c r="HTJ300" s="208"/>
      <c r="HTK300" s="208"/>
      <c r="HTL300" s="208"/>
      <c r="HTM300" s="208"/>
      <c r="HTN300" s="208"/>
      <c r="HTO300" s="208"/>
      <c r="HTP300" s="208"/>
      <c r="HTQ300" s="208"/>
      <c r="HTR300" s="208"/>
      <c r="HTS300" s="208"/>
      <c r="HTT300" s="208"/>
      <c r="HTU300" s="208"/>
      <c r="HTV300" s="208"/>
      <c r="HTW300" s="208"/>
      <c r="HTX300" s="208"/>
      <c r="HTY300" s="208"/>
      <c r="HTZ300" s="208"/>
      <c r="HUA300" s="208"/>
      <c r="HUB300" s="208"/>
      <c r="HUC300" s="208"/>
      <c r="HUD300" s="208"/>
      <c r="HUE300" s="208"/>
      <c r="HUF300" s="208"/>
      <c r="HUG300" s="208"/>
      <c r="HUH300" s="208"/>
      <c r="HUI300" s="208"/>
      <c r="HUJ300" s="208"/>
      <c r="HUK300" s="208"/>
      <c r="HUL300" s="208"/>
      <c r="HUM300" s="208"/>
      <c r="HUN300" s="208"/>
      <c r="HUO300" s="208"/>
      <c r="HUP300" s="208"/>
      <c r="HUQ300" s="208"/>
      <c r="HUR300" s="208"/>
      <c r="HUS300" s="208"/>
      <c r="HUT300" s="208"/>
      <c r="HUU300" s="208"/>
      <c r="HUV300" s="208"/>
      <c r="HUW300" s="208"/>
      <c r="HUX300" s="208"/>
      <c r="HUY300" s="208"/>
      <c r="HUZ300" s="208"/>
      <c r="HVA300" s="208"/>
      <c r="HVB300" s="208"/>
      <c r="HVC300" s="208"/>
      <c r="HVD300" s="208"/>
      <c r="HVE300" s="208"/>
      <c r="HVF300" s="208"/>
      <c r="HVG300" s="208"/>
      <c r="HVH300" s="208"/>
      <c r="HVI300" s="208"/>
      <c r="HVJ300" s="208"/>
      <c r="HVK300" s="208"/>
      <c r="HVL300" s="208"/>
      <c r="HVM300" s="208"/>
      <c r="HVN300" s="208"/>
      <c r="HVO300" s="208"/>
      <c r="HVP300" s="208"/>
      <c r="HVQ300" s="208"/>
      <c r="HVR300" s="208"/>
      <c r="HVS300" s="208"/>
      <c r="HVT300" s="208"/>
      <c r="HVU300" s="208"/>
      <c r="HVV300" s="208"/>
      <c r="HVW300" s="208"/>
      <c r="HVX300" s="208"/>
      <c r="HVY300" s="208"/>
      <c r="HVZ300" s="208"/>
      <c r="HWA300" s="208"/>
      <c r="HWB300" s="208"/>
      <c r="HWC300" s="208"/>
      <c r="HWD300" s="208"/>
      <c r="HWE300" s="208"/>
      <c r="HWF300" s="208"/>
      <c r="HWG300" s="208"/>
      <c r="HWH300" s="208"/>
      <c r="HWI300" s="208"/>
      <c r="HWJ300" s="208"/>
      <c r="HWK300" s="208"/>
      <c r="HWL300" s="208"/>
      <c r="HWM300" s="208"/>
      <c r="HWN300" s="208"/>
      <c r="HWO300" s="208"/>
      <c r="HWP300" s="208"/>
      <c r="HWQ300" s="208"/>
      <c r="HWR300" s="208"/>
      <c r="HWS300" s="208"/>
      <c r="HWT300" s="208"/>
      <c r="HWU300" s="208"/>
      <c r="HWV300" s="208"/>
      <c r="HWW300" s="208"/>
      <c r="HWX300" s="208"/>
      <c r="HWY300" s="208"/>
      <c r="HWZ300" s="208"/>
      <c r="HXA300" s="208"/>
      <c r="HXB300" s="208"/>
      <c r="HXC300" s="208"/>
      <c r="HXD300" s="208"/>
      <c r="HXE300" s="208"/>
      <c r="HXF300" s="208"/>
      <c r="HXG300" s="208"/>
      <c r="HXH300" s="208"/>
      <c r="HXI300" s="208"/>
      <c r="HXJ300" s="208"/>
      <c r="HXK300" s="208"/>
      <c r="HXL300" s="208"/>
      <c r="HXM300" s="208"/>
      <c r="HXN300" s="208"/>
      <c r="HXO300" s="208"/>
      <c r="HXP300" s="208"/>
      <c r="HXQ300" s="208"/>
      <c r="HXR300" s="208"/>
      <c r="HXS300" s="208"/>
      <c r="HXT300" s="208"/>
      <c r="HXU300" s="208"/>
      <c r="HXV300" s="208"/>
      <c r="HXW300" s="208"/>
      <c r="HXX300" s="208"/>
      <c r="HXY300" s="208"/>
      <c r="HXZ300" s="208"/>
      <c r="HYA300" s="208"/>
      <c r="HYB300" s="208"/>
      <c r="HYC300" s="208"/>
      <c r="HYD300" s="208"/>
      <c r="HYE300" s="208"/>
      <c r="HYF300" s="208"/>
      <c r="HYG300" s="208"/>
      <c r="HYH300" s="208"/>
      <c r="HYI300" s="208"/>
      <c r="HYJ300" s="208"/>
      <c r="HYK300" s="208"/>
      <c r="HYL300" s="208"/>
      <c r="HYM300" s="208"/>
      <c r="HYN300" s="208"/>
      <c r="HYO300" s="208"/>
      <c r="HYP300" s="208"/>
      <c r="HYQ300" s="208"/>
      <c r="HYR300" s="208"/>
      <c r="HYS300" s="208"/>
      <c r="HYT300" s="208"/>
      <c r="HYU300" s="208"/>
      <c r="HYV300" s="208"/>
      <c r="HYW300" s="208"/>
      <c r="HYX300" s="208"/>
      <c r="HYY300" s="208"/>
      <c r="HYZ300" s="208"/>
      <c r="HZA300" s="208"/>
      <c r="HZB300" s="208"/>
      <c r="HZC300" s="208"/>
      <c r="HZD300" s="208"/>
      <c r="HZE300" s="208"/>
      <c r="HZF300" s="208"/>
      <c r="HZG300" s="208"/>
      <c r="HZH300" s="208"/>
      <c r="HZI300" s="208"/>
      <c r="HZJ300" s="208"/>
      <c r="HZK300" s="208"/>
      <c r="HZL300" s="208"/>
      <c r="HZM300" s="208"/>
      <c r="HZN300" s="208"/>
      <c r="HZO300" s="208"/>
      <c r="HZP300" s="208"/>
      <c r="HZQ300" s="208"/>
      <c r="HZR300" s="208"/>
      <c r="HZS300" s="208"/>
      <c r="HZT300" s="208"/>
      <c r="HZU300" s="208"/>
      <c r="HZV300" s="208"/>
      <c r="HZW300" s="208"/>
      <c r="HZX300" s="208"/>
      <c r="HZY300" s="208"/>
      <c r="HZZ300" s="208"/>
      <c r="IAA300" s="208"/>
      <c r="IAB300" s="208"/>
      <c r="IAC300" s="208"/>
      <c r="IAD300" s="208"/>
      <c r="IAE300" s="208"/>
      <c r="IAF300" s="208"/>
      <c r="IAG300" s="208"/>
      <c r="IAH300" s="208"/>
      <c r="IAI300" s="208"/>
      <c r="IAJ300" s="208"/>
      <c r="IAK300" s="208"/>
      <c r="IAL300" s="208"/>
      <c r="IAM300" s="208"/>
      <c r="IAN300" s="208"/>
      <c r="IAO300" s="208"/>
      <c r="IAP300" s="208"/>
      <c r="IAQ300" s="208"/>
      <c r="IAR300" s="208"/>
      <c r="IAS300" s="208"/>
      <c r="IAT300" s="208"/>
      <c r="IAU300" s="208"/>
      <c r="IAV300" s="208"/>
      <c r="IAW300" s="208"/>
      <c r="IAX300" s="208"/>
      <c r="IAY300" s="208"/>
      <c r="IAZ300" s="208"/>
      <c r="IBA300" s="208"/>
      <c r="IBB300" s="208"/>
      <c r="IBC300" s="208"/>
      <c r="IBD300" s="208"/>
      <c r="IBE300" s="208"/>
      <c r="IBF300" s="208"/>
      <c r="IBG300" s="208"/>
      <c r="IBH300" s="208"/>
      <c r="IBI300" s="208"/>
      <c r="IBJ300" s="208"/>
      <c r="IBK300" s="208"/>
      <c r="IBL300" s="208"/>
      <c r="IBM300" s="208"/>
      <c r="IBN300" s="208"/>
      <c r="IBO300" s="208"/>
      <c r="IBP300" s="208"/>
      <c r="IBQ300" s="208"/>
      <c r="IBR300" s="208"/>
      <c r="IBS300" s="208"/>
      <c r="IBT300" s="208"/>
      <c r="IBU300" s="208"/>
      <c r="IBV300" s="208"/>
      <c r="IBW300" s="208"/>
      <c r="IBX300" s="208"/>
      <c r="IBY300" s="208"/>
      <c r="IBZ300" s="208"/>
      <c r="ICA300" s="208"/>
      <c r="ICB300" s="208"/>
      <c r="ICC300" s="208"/>
      <c r="ICD300" s="208"/>
      <c r="ICE300" s="208"/>
      <c r="ICF300" s="208"/>
      <c r="ICG300" s="208"/>
      <c r="ICH300" s="208"/>
      <c r="ICI300" s="208"/>
      <c r="ICJ300" s="208"/>
      <c r="ICK300" s="208"/>
      <c r="ICL300" s="208"/>
      <c r="ICM300" s="208"/>
      <c r="ICN300" s="208"/>
      <c r="ICO300" s="208"/>
      <c r="ICP300" s="208"/>
      <c r="ICQ300" s="208"/>
      <c r="ICR300" s="208"/>
      <c r="ICS300" s="208"/>
      <c r="ICT300" s="208"/>
      <c r="ICU300" s="208"/>
      <c r="ICV300" s="208"/>
      <c r="ICW300" s="208"/>
      <c r="ICX300" s="208"/>
      <c r="ICY300" s="208"/>
      <c r="ICZ300" s="208"/>
      <c r="IDA300" s="208"/>
      <c r="IDB300" s="208"/>
      <c r="IDC300" s="208"/>
      <c r="IDD300" s="208"/>
      <c r="IDE300" s="208"/>
      <c r="IDF300" s="208"/>
      <c r="IDG300" s="208"/>
      <c r="IDH300" s="208"/>
      <c r="IDI300" s="208"/>
      <c r="IDJ300" s="208"/>
      <c r="IDK300" s="208"/>
      <c r="IDL300" s="208"/>
      <c r="IDM300" s="208"/>
      <c r="IDN300" s="208"/>
      <c r="IDO300" s="208"/>
      <c r="IDP300" s="208"/>
      <c r="IDQ300" s="208"/>
      <c r="IDR300" s="208"/>
      <c r="IDS300" s="208"/>
      <c r="IDT300" s="208"/>
      <c r="IDU300" s="208"/>
      <c r="IDV300" s="208"/>
      <c r="IDW300" s="208"/>
      <c r="IDX300" s="208"/>
      <c r="IDY300" s="208"/>
      <c r="IDZ300" s="208"/>
      <c r="IEA300" s="208"/>
      <c r="IEB300" s="208"/>
      <c r="IEC300" s="208"/>
      <c r="IED300" s="208"/>
      <c r="IEE300" s="208"/>
      <c r="IEF300" s="208"/>
      <c r="IEG300" s="208"/>
      <c r="IEH300" s="208"/>
      <c r="IEI300" s="208"/>
      <c r="IEJ300" s="208"/>
      <c r="IEK300" s="208"/>
      <c r="IEL300" s="208"/>
      <c r="IEM300" s="208"/>
      <c r="IEN300" s="208"/>
      <c r="IEO300" s="208"/>
      <c r="IEP300" s="208"/>
      <c r="IEQ300" s="208"/>
      <c r="IER300" s="208"/>
      <c r="IES300" s="208"/>
      <c r="IET300" s="208"/>
      <c r="IEU300" s="208"/>
      <c r="IEV300" s="208"/>
      <c r="IEW300" s="208"/>
      <c r="IEX300" s="208"/>
      <c r="IEY300" s="208"/>
      <c r="IEZ300" s="208"/>
      <c r="IFA300" s="208"/>
      <c r="IFB300" s="208"/>
      <c r="IFC300" s="208"/>
      <c r="IFD300" s="208"/>
      <c r="IFE300" s="208"/>
      <c r="IFF300" s="208"/>
      <c r="IFG300" s="208"/>
      <c r="IFH300" s="208"/>
      <c r="IFI300" s="208"/>
      <c r="IFJ300" s="208"/>
      <c r="IFK300" s="208"/>
      <c r="IFL300" s="208"/>
      <c r="IFM300" s="208"/>
      <c r="IFN300" s="208"/>
      <c r="IFO300" s="208"/>
      <c r="IFP300" s="208"/>
      <c r="IFQ300" s="208"/>
      <c r="IFR300" s="208"/>
      <c r="IFS300" s="208"/>
      <c r="IFT300" s="208"/>
      <c r="IFU300" s="208"/>
      <c r="IFV300" s="208"/>
      <c r="IFW300" s="208"/>
      <c r="IFX300" s="208"/>
      <c r="IFY300" s="208"/>
      <c r="IFZ300" s="208"/>
      <c r="IGA300" s="208"/>
      <c r="IGB300" s="208"/>
      <c r="IGC300" s="208"/>
      <c r="IGD300" s="208"/>
      <c r="IGE300" s="208"/>
      <c r="IGF300" s="208"/>
      <c r="IGG300" s="208"/>
      <c r="IGH300" s="208"/>
      <c r="IGI300" s="208"/>
      <c r="IGJ300" s="208"/>
      <c r="IGK300" s="208"/>
      <c r="IGL300" s="208"/>
      <c r="IGM300" s="208"/>
      <c r="IGN300" s="208"/>
      <c r="IGO300" s="208"/>
      <c r="IGP300" s="208"/>
      <c r="IGQ300" s="208"/>
      <c r="IGR300" s="208"/>
      <c r="IGS300" s="208"/>
      <c r="IGT300" s="208"/>
      <c r="IGU300" s="208"/>
      <c r="IGV300" s="208"/>
      <c r="IGW300" s="208"/>
      <c r="IGX300" s="208"/>
      <c r="IGY300" s="208"/>
      <c r="IGZ300" s="208"/>
      <c r="IHA300" s="208"/>
      <c r="IHB300" s="208"/>
      <c r="IHC300" s="208"/>
      <c r="IHD300" s="208"/>
      <c r="IHE300" s="208"/>
      <c r="IHF300" s="208"/>
      <c r="IHG300" s="208"/>
      <c r="IHH300" s="208"/>
      <c r="IHI300" s="208"/>
      <c r="IHJ300" s="208"/>
      <c r="IHK300" s="208"/>
      <c r="IHL300" s="208"/>
      <c r="IHM300" s="208"/>
      <c r="IHN300" s="208"/>
      <c r="IHO300" s="208"/>
      <c r="IHP300" s="208"/>
      <c r="IHQ300" s="208"/>
      <c r="IHR300" s="208"/>
      <c r="IHS300" s="208"/>
      <c r="IHT300" s="208"/>
      <c r="IHU300" s="208"/>
      <c r="IHV300" s="208"/>
      <c r="IHW300" s="208"/>
      <c r="IHX300" s="208"/>
      <c r="IHY300" s="208"/>
      <c r="IHZ300" s="208"/>
      <c r="IIA300" s="208"/>
      <c r="IIB300" s="208"/>
      <c r="IIC300" s="208"/>
      <c r="IID300" s="208"/>
      <c r="IIE300" s="208"/>
      <c r="IIF300" s="208"/>
      <c r="IIG300" s="208"/>
      <c r="IIH300" s="208"/>
      <c r="III300" s="208"/>
      <c r="IIJ300" s="208"/>
      <c r="IIK300" s="208"/>
      <c r="IIL300" s="208"/>
      <c r="IIM300" s="208"/>
      <c r="IIN300" s="208"/>
      <c r="IIO300" s="208"/>
      <c r="IIP300" s="208"/>
      <c r="IIQ300" s="208"/>
      <c r="IIR300" s="208"/>
      <c r="IIS300" s="208"/>
      <c r="IIT300" s="208"/>
      <c r="IIU300" s="208"/>
      <c r="IIV300" s="208"/>
      <c r="IIW300" s="208"/>
      <c r="IIX300" s="208"/>
      <c r="IIY300" s="208"/>
      <c r="IIZ300" s="208"/>
      <c r="IJA300" s="208"/>
      <c r="IJB300" s="208"/>
      <c r="IJC300" s="208"/>
      <c r="IJD300" s="208"/>
      <c r="IJE300" s="208"/>
      <c r="IJF300" s="208"/>
      <c r="IJG300" s="208"/>
      <c r="IJH300" s="208"/>
      <c r="IJI300" s="208"/>
      <c r="IJJ300" s="208"/>
      <c r="IJK300" s="208"/>
      <c r="IJL300" s="208"/>
      <c r="IJM300" s="208"/>
      <c r="IJN300" s="208"/>
      <c r="IJO300" s="208"/>
      <c r="IJP300" s="208"/>
      <c r="IJQ300" s="208"/>
      <c r="IJR300" s="208"/>
      <c r="IJS300" s="208"/>
      <c r="IJT300" s="208"/>
      <c r="IJU300" s="208"/>
      <c r="IJV300" s="208"/>
      <c r="IJW300" s="208"/>
      <c r="IJX300" s="208"/>
      <c r="IJY300" s="208"/>
      <c r="IJZ300" s="208"/>
      <c r="IKA300" s="208"/>
      <c r="IKB300" s="208"/>
      <c r="IKC300" s="208"/>
      <c r="IKD300" s="208"/>
      <c r="IKE300" s="208"/>
      <c r="IKF300" s="208"/>
      <c r="IKG300" s="208"/>
      <c r="IKH300" s="208"/>
      <c r="IKI300" s="208"/>
      <c r="IKJ300" s="208"/>
      <c r="IKK300" s="208"/>
      <c r="IKL300" s="208"/>
      <c r="IKM300" s="208"/>
      <c r="IKN300" s="208"/>
      <c r="IKO300" s="208"/>
      <c r="IKP300" s="208"/>
      <c r="IKQ300" s="208"/>
      <c r="IKR300" s="208"/>
      <c r="IKS300" s="208"/>
      <c r="IKT300" s="208"/>
      <c r="IKU300" s="208"/>
      <c r="IKV300" s="208"/>
      <c r="IKW300" s="208"/>
      <c r="IKX300" s="208"/>
      <c r="IKY300" s="208"/>
      <c r="IKZ300" s="208"/>
      <c r="ILA300" s="208"/>
      <c r="ILB300" s="208"/>
      <c r="ILC300" s="208"/>
      <c r="ILD300" s="208"/>
      <c r="ILE300" s="208"/>
      <c r="ILF300" s="208"/>
      <c r="ILG300" s="208"/>
      <c r="ILH300" s="208"/>
      <c r="ILI300" s="208"/>
      <c r="ILJ300" s="208"/>
      <c r="ILK300" s="208"/>
      <c r="ILL300" s="208"/>
      <c r="ILM300" s="208"/>
      <c r="ILN300" s="208"/>
      <c r="ILO300" s="208"/>
      <c r="ILP300" s="208"/>
      <c r="ILQ300" s="208"/>
      <c r="ILR300" s="208"/>
      <c r="ILS300" s="208"/>
      <c r="ILT300" s="208"/>
      <c r="ILU300" s="208"/>
      <c r="ILV300" s="208"/>
      <c r="ILW300" s="208"/>
      <c r="ILX300" s="208"/>
      <c r="ILY300" s="208"/>
      <c r="ILZ300" s="208"/>
      <c r="IMA300" s="208"/>
      <c r="IMB300" s="208"/>
      <c r="IMC300" s="208"/>
      <c r="IMD300" s="208"/>
      <c r="IME300" s="208"/>
      <c r="IMF300" s="208"/>
      <c r="IMG300" s="208"/>
      <c r="IMH300" s="208"/>
      <c r="IMI300" s="208"/>
      <c r="IMJ300" s="208"/>
      <c r="IMK300" s="208"/>
      <c r="IML300" s="208"/>
      <c r="IMM300" s="208"/>
      <c r="IMN300" s="208"/>
      <c r="IMO300" s="208"/>
      <c r="IMP300" s="208"/>
      <c r="IMQ300" s="208"/>
      <c r="IMR300" s="208"/>
      <c r="IMS300" s="208"/>
      <c r="IMT300" s="208"/>
      <c r="IMU300" s="208"/>
      <c r="IMV300" s="208"/>
      <c r="IMW300" s="208"/>
      <c r="IMX300" s="208"/>
      <c r="IMY300" s="208"/>
      <c r="IMZ300" s="208"/>
      <c r="INA300" s="208"/>
      <c r="INB300" s="208"/>
      <c r="INC300" s="208"/>
      <c r="IND300" s="208"/>
      <c r="INE300" s="208"/>
      <c r="INF300" s="208"/>
      <c r="ING300" s="208"/>
      <c r="INH300" s="208"/>
      <c r="INI300" s="208"/>
      <c r="INJ300" s="208"/>
      <c r="INK300" s="208"/>
      <c r="INL300" s="208"/>
      <c r="INM300" s="208"/>
      <c r="INN300" s="208"/>
      <c r="INO300" s="208"/>
      <c r="INP300" s="208"/>
      <c r="INQ300" s="208"/>
      <c r="INR300" s="208"/>
      <c r="INS300" s="208"/>
      <c r="INT300" s="208"/>
      <c r="INU300" s="208"/>
      <c r="INV300" s="208"/>
      <c r="INW300" s="208"/>
      <c r="INX300" s="208"/>
      <c r="INY300" s="208"/>
      <c r="INZ300" s="208"/>
      <c r="IOA300" s="208"/>
      <c r="IOB300" s="208"/>
      <c r="IOC300" s="208"/>
      <c r="IOD300" s="208"/>
      <c r="IOE300" s="208"/>
      <c r="IOF300" s="208"/>
      <c r="IOG300" s="208"/>
      <c r="IOH300" s="208"/>
      <c r="IOI300" s="208"/>
      <c r="IOJ300" s="208"/>
      <c r="IOK300" s="208"/>
      <c r="IOL300" s="208"/>
      <c r="IOM300" s="208"/>
      <c r="ION300" s="208"/>
      <c r="IOO300" s="208"/>
      <c r="IOP300" s="208"/>
      <c r="IOQ300" s="208"/>
      <c r="IOR300" s="208"/>
      <c r="IOS300" s="208"/>
      <c r="IOT300" s="208"/>
      <c r="IOU300" s="208"/>
      <c r="IOV300" s="208"/>
      <c r="IOW300" s="208"/>
      <c r="IOX300" s="208"/>
      <c r="IOY300" s="208"/>
      <c r="IOZ300" s="208"/>
      <c r="IPA300" s="208"/>
      <c r="IPB300" s="208"/>
      <c r="IPC300" s="208"/>
      <c r="IPD300" s="208"/>
      <c r="IPE300" s="208"/>
      <c r="IPF300" s="208"/>
      <c r="IPG300" s="208"/>
      <c r="IPH300" s="208"/>
      <c r="IPI300" s="208"/>
      <c r="IPJ300" s="208"/>
      <c r="IPK300" s="208"/>
      <c r="IPL300" s="208"/>
      <c r="IPM300" s="208"/>
      <c r="IPN300" s="208"/>
      <c r="IPO300" s="208"/>
      <c r="IPP300" s="208"/>
      <c r="IPQ300" s="208"/>
      <c r="IPR300" s="208"/>
      <c r="IPS300" s="208"/>
      <c r="IPT300" s="208"/>
      <c r="IPU300" s="208"/>
      <c r="IPV300" s="208"/>
      <c r="IPW300" s="208"/>
      <c r="IPX300" s="208"/>
      <c r="IPY300" s="208"/>
      <c r="IPZ300" s="208"/>
      <c r="IQA300" s="208"/>
      <c r="IQB300" s="208"/>
      <c r="IQC300" s="208"/>
      <c r="IQD300" s="208"/>
      <c r="IQE300" s="208"/>
      <c r="IQF300" s="208"/>
      <c r="IQG300" s="208"/>
      <c r="IQH300" s="208"/>
      <c r="IQI300" s="208"/>
      <c r="IQJ300" s="208"/>
      <c r="IQK300" s="208"/>
      <c r="IQL300" s="208"/>
      <c r="IQM300" s="208"/>
      <c r="IQN300" s="208"/>
      <c r="IQO300" s="208"/>
      <c r="IQP300" s="208"/>
      <c r="IQQ300" s="208"/>
      <c r="IQR300" s="208"/>
      <c r="IQS300" s="208"/>
      <c r="IQT300" s="208"/>
      <c r="IQU300" s="208"/>
      <c r="IQV300" s="208"/>
      <c r="IQW300" s="208"/>
      <c r="IQX300" s="208"/>
      <c r="IQY300" s="208"/>
      <c r="IQZ300" s="208"/>
      <c r="IRA300" s="208"/>
      <c r="IRB300" s="208"/>
      <c r="IRC300" s="208"/>
      <c r="IRD300" s="208"/>
      <c r="IRE300" s="208"/>
      <c r="IRF300" s="208"/>
      <c r="IRG300" s="208"/>
      <c r="IRH300" s="208"/>
      <c r="IRI300" s="208"/>
      <c r="IRJ300" s="208"/>
      <c r="IRK300" s="208"/>
      <c r="IRL300" s="208"/>
      <c r="IRM300" s="208"/>
      <c r="IRN300" s="208"/>
      <c r="IRO300" s="208"/>
      <c r="IRP300" s="208"/>
      <c r="IRQ300" s="208"/>
      <c r="IRR300" s="208"/>
      <c r="IRS300" s="208"/>
      <c r="IRT300" s="208"/>
      <c r="IRU300" s="208"/>
      <c r="IRV300" s="208"/>
      <c r="IRW300" s="208"/>
      <c r="IRX300" s="208"/>
      <c r="IRY300" s="208"/>
      <c r="IRZ300" s="208"/>
      <c r="ISA300" s="208"/>
      <c r="ISB300" s="208"/>
      <c r="ISC300" s="208"/>
      <c r="ISD300" s="208"/>
      <c r="ISE300" s="208"/>
      <c r="ISF300" s="208"/>
      <c r="ISG300" s="208"/>
      <c r="ISH300" s="208"/>
      <c r="ISI300" s="208"/>
      <c r="ISJ300" s="208"/>
      <c r="ISK300" s="208"/>
      <c r="ISL300" s="208"/>
      <c r="ISM300" s="208"/>
      <c r="ISN300" s="208"/>
      <c r="ISO300" s="208"/>
      <c r="ISP300" s="208"/>
      <c r="ISQ300" s="208"/>
      <c r="ISR300" s="208"/>
      <c r="ISS300" s="208"/>
      <c r="IST300" s="208"/>
      <c r="ISU300" s="208"/>
      <c r="ISV300" s="208"/>
      <c r="ISW300" s="208"/>
      <c r="ISX300" s="208"/>
      <c r="ISY300" s="208"/>
      <c r="ISZ300" s="208"/>
      <c r="ITA300" s="208"/>
      <c r="ITB300" s="208"/>
      <c r="ITC300" s="208"/>
      <c r="ITD300" s="208"/>
      <c r="ITE300" s="208"/>
      <c r="ITF300" s="208"/>
      <c r="ITG300" s="208"/>
      <c r="ITH300" s="208"/>
      <c r="ITI300" s="208"/>
      <c r="ITJ300" s="208"/>
      <c r="ITK300" s="208"/>
      <c r="ITL300" s="208"/>
      <c r="ITM300" s="208"/>
      <c r="ITN300" s="208"/>
      <c r="ITO300" s="208"/>
      <c r="ITP300" s="208"/>
      <c r="ITQ300" s="208"/>
      <c r="ITR300" s="208"/>
      <c r="ITS300" s="208"/>
      <c r="ITT300" s="208"/>
      <c r="ITU300" s="208"/>
      <c r="ITV300" s="208"/>
      <c r="ITW300" s="208"/>
      <c r="ITX300" s="208"/>
      <c r="ITY300" s="208"/>
      <c r="ITZ300" s="208"/>
      <c r="IUA300" s="208"/>
      <c r="IUB300" s="208"/>
      <c r="IUC300" s="208"/>
      <c r="IUD300" s="208"/>
      <c r="IUE300" s="208"/>
      <c r="IUF300" s="208"/>
      <c r="IUG300" s="208"/>
      <c r="IUH300" s="208"/>
      <c r="IUI300" s="208"/>
      <c r="IUJ300" s="208"/>
      <c r="IUK300" s="208"/>
      <c r="IUL300" s="208"/>
      <c r="IUM300" s="208"/>
      <c r="IUN300" s="208"/>
      <c r="IUO300" s="208"/>
      <c r="IUP300" s="208"/>
      <c r="IUQ300" s="208"/>
      <c r="IUR300" s="208"/>
      <c r="IUS300" s="208"/>
      <c r="IUT300" s="208"/>
      <c r="IUU300" s="208"/>
      <c r="IUV300" s="208"/>
      <c r="IUW300" s="208"/>
      <c r="IUX300" s="208"/>
      <c r="IUY300" s="208"/>
      <c r="IUZ300" s="208"/>
      <c r="IVA300" s="208"/>
      <c r="IVB300" s="208"/>
      <c r="IVC300" s="208"/>
      <c r="IVD300" s="208"/>
      <c r="IVE300" s="208"/>
      <c r="IVF300" s="208"/>
      <c r="IVG300" s="208"/>
      <c r="IVH300" s="208"/>
      <c r="IVI300" s="208"/>
      <c r="IVJ300" s="208"/>
      <c r="IVK300" s="208"/>
      <c r="IVL300" s="208"/>
      <c r="IVM300" s="208"/>
      <c r="IVN300" s="208"/>
      <c r="IVO300" s="208"/>
      <c r="IVP300" s="208"/>
      <c r="IVQ300" s="208"/>
      <c r="IVR300" s="208"/>
      <c r="IVS300" s="208"/>
      <c r="IVT300" s="208"/>
      <c r="IVU300" s="208"/>
      <c r="IVV300" s="208"/>
      <c r="IVW300" s="208"/>
      <c r="IVX300" s="208"/>
      <c r="IVY300" s="208"/>
      <c r="IVZ300" s="208"/>
      <c r="IWA300" s="208"/>
      <c r="IWB300" s="208"/>
      <c r="IWC300" s="208"/>
      <c r="IWD300" s="208"/>
      <c r="IWE300" s="208"/>
      <c r="IWF300" s="208"/>
      <c r="IWG300" s="208"/>
      <c r="IWH300" s="208"/>
      <c r="IWI300" s="208"/>
      <c r="IWJ300" s="208"/>
      <c r="IWK300" s="208"/>
      <c r="IWL300" s="208"/>
      <c r="IWM300" s="208"/>
      <c r="IWN300" s="208"/>
      <c r="IWO300" s="208"/>
      <c r="IWP300" s="208"/>
      <c r="IWQ300" s="208"/>
      <c r="IWR300" s="208"/>
      <c r="IWS300" s="208"/>
      <c r="IWT300" s="208"/>
      <c r="IWU300" s="208"/>
      <c r="IWV300" s="208"/>
      <c r="IWW300" s="208"/>
      <c r="IWX300" s="208"/>
      <c r="IWY300" s="208"/>
      <c r="IWZ300" s="208"/>
      <c r="IXA300" s="208"/>
      <c r="IXB300" s="208"/>
      <c r="IXC300" s="208"/>
      <c r="IXD300" s="208"/>
      <c r="IXE300" s="208"/>
      <c r="IXF300" s="208"/>
      <c r="IXG300" s="208"/>
      <c r="IXH300" s="208"/>
      <c r="IXI300" s="208"/>
      <c r="IXJ300" s="208"/>
      <c r="IXK300" s="208"/>
      <c r="IXL300" s="208"/>
      <c r="IXM300" s="208"/>
      <c r="IXN300" s="208"/>
      <c r="IXO300" s="208"/>
      <c r="IXP300" s="208"/>
      <c r="IXQ300" s="208"/>
      <c r="IXR300" s="208"/>
      <c r="IXS300" s="208"/>
      <c r="IXT300" s="208"/>
      <c r="IXU300" s="208"/>
      <c r="IXV300" s="208"/>
      <c r="IXW300" s="208"/>
      <c r="IXX300" s="208"/>
      <c r="IXY300" s="208"/>
      <c r="IXZ300" s="208"/>
      <c r="IYA300" s="208"/>
      <c r="IYB300" s="208"/>
      <c r="IYC300" s="208"/>
      <c r="IYD300" s="208"/>
      <c r="IYE300" s="208"/>
      <c r="IYF300" s="208"/>
      <c r="IYG300" s="208"/>
      <c r="IYH300" s="208"/>
      <c r="IYI300" s="208"/>
      <c r="IYJ300" s="208"/>
      <c r="IYK300" s="208"/>
      <c r="IYL300" s="208"/>
      <c r="IYM300" s="208"/>
      <c r="IYN300" s="208"/>
      <c r="IYO300" s="208"/>
      <c r="IYP300" s="208"/>
      <c r="IYQ300" s="208"/>
      <c r="IYR300" s="208"/>
      <c r="IYS300" s="208"/>
      <c r="IYT300" s="208"/>
      <c r="IYU300" s="208"/>
      <c r="IYV300" s="208"/>
      <c r="IYW300" s="208"/>
      <c r="IYX300" s="208"/>
      <c r="IYY300" s="208"/>
      <c r="IYZ300" s="208"/>
      <c r="IZA300" s="208"/>
      <c r="IZB300" s="208"/>
      <c r="IZC300" s="208"/>
      <c r="IZD300" s="208"/>
      <c r="IZE300" s="208"/>
      <c r="IZF300" s="208"/>
      <c r="IZG300" s="208"/>
      <c r="IZH300" s="208"/>
      <c r="IZI300" s="208"/>
      <c r="IZJ300" s="208"/>
      <c r="IZK300" s="208"/>
      <c r="IZL300" s="208"/>
      <c r="IZM300" s="208"/>
      <c r="IZN300" s="208"/>
      <c r="IZO300" s="208"/>
      <c r="IZP300" s="208"/>
      <c r="IZQ300" s="208"/>
      <c r="IZR300" s="208"/>
      <c r="IZS300" s="208"/>
      <c r="IZT300" s="208"/>
      <c r="IZU300" s="208"/>
      <c r="IZV300" s="208"/>
      <c r="IZW300" s="208"/>
      <c r="IZX300" s="208"/>
      <c r="IZY300" s="208"/>
      <c r="IZZ300" s="208"/>
      <c r="JAA300" s="208"/>
      <c r="JAB300" s="208"/>
      <c r="JAC300" s="208"/>
      <c r="JAD300" s="208"/>
      <c r="JAE300" s="208"/>
      <c r="JAF300" s="208"/>
      <c r="JAG300" s="208"/>
      <c r="JAH300" s="208"/>
      <c r="JAI300" s="208"/>
      <c r="JAJ300" s="208"/>
      <c r="JAK300" s="208"/>
      <c r="JAL300" s="208"/>
      <c r="JAM300" s="208"/>
      <c r="JAN300" s="208"/>
      <c r="JAO300" s="208"/>
      <c r="JAP300" s="208"/>
      <c r="JAQ300" s="208"/>
      <c r="JAR300" s="208"/>
      <c r="JAS300" s="208"/>
      <c r="JAT300" s="208"/>
      <c r="JAU300" s="208"/>
      <c r="JAV300" s="208"/>
      <c r="JAW300" s="208"/>
      <c r="JAX300" s="208"/>
      <c r="JAY300" s="208"/>
      <c r="JAZ300" s="208"/>
      <c r="JBA300" s="208"/>
      <c r="JBB300" s="208"/>
      <c r="JBC300" s="208"/>
      <c r="JBD300" s="208"/>
      <c r="JBE300" s="208"/>
      <c r="JBF300" s="208"/>
      <c r="JBG300" s="208"/>
      <c r="JBH300" s="208"/>
      <c r="JBI300" s="208"/>
      <c r="JBJ300" s="208"/>
      <c r="JBK300" s="208"/>
      <c r="JBL300" s="208"/>
      <c r="JBM300" s="208"/>
      <c r="JBN300" s="208"/>
      <c r="JBO300" s="208"/>
      <c r="JBP300" s="208"/>
      <c r="JBQ300" s="208"/>
      <c r="JBR300" s="208"/>
      <c r="JBS300" s="208"/>
      <c r="JBT300" s="208"/>
      <c r="JBU300" s="208"/>
      <c r="JBV300" s="208"/>
      <c r="JBW300" s="208"/>
      <c r="JBX300" s="208"/>
      <c r="JBY300" s="208"/>
      <c r="JBZ300" s="208"/>
      <c r="JCA300" s="208"/>
      <c r="JCB300" s="208"/>
      <c r="JCC300" s="208"/>
      <c r="JCD300" s="208"/>
      <c r="JCE300" s="208"/>
      <c r="JCF300" s="208"/>
      <c r="JCG300" s="208"/>
      <c r="JCH300" s="208"/>
      <c r="JCI300" s="208"/>
      <c r="JCJ300" s="208"/>
      <c r="JCK300" s="208"/>
      <c r="JCL300" s="208"/>
      <c r="JCM300" s="208"/>
      <c r="JCN300" s="208"/>
      <c r="JCO300" s="208"/>
      <c r="JCP300" s="208"/>
      <c r="JCQ300" s="208"/>
      <c r="JCR300" s="208"/>
      <c r="JCS300" s="208"/>
      <c r="JCT300" s="208"/>
      <c r="JCU300" s="208"/>
      <c r="JCV300" s="208"/>
      <c r="JCW300" s="208"/>
      <c r="JCX300" s="208"/>
      <c r="JCY300" s="208"/>
      <c r="JCZ300" s="208"/>
      <c r="JDA300" s="208"/>
      <c r="JDB300" s="208"/>
      <c r="JDC300" s="208"/>
      <c r="JDD300" s="208"/>
      <c r="JDE300" s="208"/>
      <c r="JDF300" s="208"/>
      <c r="JDG300" s="208"/>
      <c r="JDH300" s="208"/>
      <c r="JDI300" s="208"/>
      <c r="JDJ300" s="208"/>
      <c r="JDK300" s="208"/>
      <c r="JDL300" s="208"/>
      <c r="JDM300" s="208"/>
      <c r="JDN300" s="208"/>
      <c r="JDO300" s="208"/>
      <c r="JDP300" s="208"/>
      <c r="JDQ300" s="208"/>
      <c r="JDR300" s="208"/>
      <c r="JDS300" s="208"/>
      <c r="JDT300" s="208"/>
      <c r="JDU300" s="208"/>
      <c r="JDV300" s="208"/>
      <c r="JDW300" s="208"/>
      <c r="JDX300" s="208"/>
      <c r="JDY300" s="208"/>
      <c r="JDZ300" s="208"/>
      <c r="JEA300" s="208"/>
      <c r="JEB300" s="208"/>
      <c r="JEC300" s="208"/>
      <c r="JED300" s="208"/>
      <c r="JEE300" s="208"/>
      <c r="JEF300" s="208"/>
      <c r="JEG300" s="208"/>
      <c r="JEH300" s="208"/>
      <c r="JEI300" s="208"/>
      <c r="JEJ300" s="208"/>
      <c r="JEK300" s="208"/>
      <c r="JEL300" s="208"/>
      <c r="JEM300" s="208"/>
      <c r="JEN300" s="208"/>
      <c r="JEO300" s="208"/>
      <c r="JEP300" s="208"/>
      <c r="JEQ300" s="208"/>
      <c r="JER300" s="208"/>
      <c r="JES300" s="208"/>
      <c r="JET300" s="208"/>
      <c r="JEU300" s="208"/>
      <c r="JEV300" s="208"/>
      <c r="JEW300" s="208"/>
      <c r="JEX300" s="208"/>
      <c r="JEY300" s="208"/>
      <c r="JEZ300" s="208"/>
      <c r="JFA300" s="208"/>
      <c r="JFB300" s="208"/>
      <c r="JFC300" s="208"/>
      <c r="JFD300" s="208"/>
      <c r="JFE300" s="208"/>
      <c r="JFF300" s="208"/>
      <c r="JFG300" s="208"/>
      <c r="JFH300" s="208"/>
      <c r="JFI300" s="208"/>
      <c r="JFJ300" s="208"/>
      <c r="JFK300" s="208"/>
      <c r="JFL300" s="208"/>
      <c r="JFM300" s="208"/>
      <c r="JFN300" s="208"/>
      <c r="JFO300" s="208"/>
      <c r="JFP300" s="208"/>
      <c r="JFQ300" s="208"/>
      <c r="JFR300" s="208"/>
      <c r="JFS300" s="208"/>
      <c r="JFT300" s="208"/>
      <c r="JFU300" s="208"/>
      <c r="JFV300" s="208"/>
      <c r="JFW300" s="208"/>
      <c r="JFX300" s="208"/>
      <c r="JFY300" s="208"/>
      <c r="JFZ300" s="208"/>
      <c r="JGA300" s="208"/>
      <c r="JGB300" s="208"/>
      <c r="JGC300" s="208"/>
      <c r="JGD300" s="208"/>
      <c r="JGE300" s="208"/>
      <c r="JGF300" s="208"/>
      <c r="JGG300" s="208"/>
      <c r="JGH300" s="208"/>
      <c r="JGI300" s="208"/>
      <c r="JGJ300" s="208"/>
      <c r="JGK300" s="208"/>
      <c r="JGL300" s="208"/>
      <c r="JGM300" s="208"/>
      <c r="JGN300" s="208"/>
      <c r="JGO300" s="208"/>
      <c r="JGP300" s="208"/>
      <c r="JGQ300" s="208"/>
      <c r="JGR300" s="208"/>
      <c r="JGS300" s="208"/>
      <c r="JGT300" s="208"/>
      <c r="JGU300" s="208"/>
      <c r="JGV300" s="208"/>
      <c r="JGW300" s="208"/>
      <c r="JGX300" s="208"/>
      <c r="JGY300" s="208"/>
      <c r="JGZ300" s="208"/>
      <c r="JHA300" s="208"/>
      <c r="JHB300" s="208"/>
      <c r="JHC300" s="208"/>
      <c r="JHD300" s="208"/>
      <c r="JHE300" s="208"/>
      <c r="JHF300" s="208"/>
      <c r="JHG300" s="208"/>
      <c r="JHH300" s="208"/>
      <c r="JHI300" s="208"/>
      <c r="JHJ300" s="208"/>
      <c r="JHK300" s="208"/>
      <c r="JHL300" s="208"/>
      <c r="JHM300" s="208"/>
      <c r="JHN300" s="208"/>
      <c r="JHO300" s="208"/>
      <c r="JHP300" s="208"/>
      <c r="JHQ300" s="208"/>
      <c r="JHR300" s="208"/>
      <c r="JHS300" s="208"/>
      <c r="JHT300" s="208"/>
      <c r="JHU300" s="208"/>
      <c r="JHV300" s="208"/>
      <c r="JHW300" s="208"/>
      <c r="JHX300" s="208"/>
      <c r="JHY300" s="208"/>
      <c r="JHZ300" s="208"/>
      <c r="JIA300" s="208"/>
      <c r="JIB300" s="208"/>
      <c r="JIC300" s="208"/>
      <c r="JID300" s="208"/>
      <c r="JIE300" s="208"/>
      <c r="JIF300" s="208"/>
      <c r="JIG300" s="208"/>
      <c r="JIH300" s="208"/>
      <c r="JII300" s="208"/>
      <c r="JIJ300" s="208"/>
      <c r="JIK300" s="208"/>
      <c r="JIL300" s="208"/>
      <c r="JIM300" s="208"/>
      <c r="JIN300" s="208"/>
      <c r="JIO300" s="208"/>
      <c r="JIP300" s="208"/>
      <c r="JIQ300" s="208"/>
      <c r="JIR300" s="208"/>
      <c r="JIS300" s="208"/>
      <c r="JIT300" s="208"/>
      <c r="JIU300" s="208"/>
      <c r="JIV300" s="208"/>
      <c r="JIW300" s="208"/>
      <c r="JIX300" s="208"/>
      <c r="JIY300" s="208"/>
      <c r="JIZ300" s="208"/>
      <c r="JJA300" s="208"/>
      <c r="JJB300" s="208"/>
      <c r="JJC300" s="208"/>
      <c r="JJD300" s="208"/>
      <c r="JJE300" s="208"/>
      <c r="JJF300" s="208"/>
      <c r="JJG300" s="208"/>
      <c r="JJH300" s="208"/>
      <c r="JJI300" s="208"/>
      <c r="JJJ300" s="208"/>
      <c r="JJK300" s="208"/>
      <c r="JJL300" s="208"/>
      <c r="JJM300" s="208"/>
      <c r="JJN300" s="208"/>
      <c r="JJO300" s="208"/>
      <c r="JJP300" s="208"/>
      <c r="JJQ300" s="208"/>
      <c r="JJR300" s="208"/>
      <c r="JJS300" s="208"/>
      <c r="JJT300" s="208"/>
      <c r="JJU300" s="208"/>
      <c r="JJV300" s="208"/>
      <c r="JJW300" s="208"/>
      <c r="JJX300" s="208"/>
      <c r="JJY300" s="208"/>
      <c r="JJZ300" s="208"/>
      <c r="JKA300" s="208"/>
      <c r="JKB300" s="208"/>
      <c r="JKC300" s="208"/>
      <c r="JKD300" s="208"/>
      <c r="JKE300" s="208"/>
      <c r="JKF300" s="208"/>
      <c r="JKG300" s="208"/>
      <c r="JKH300" s="208"/>
      <c r="JKI300" s="208"/>
      <c r="JKJ300" s="208"/>
      <c r="JKK300" s="208"/>
      <c r="JKL300" s="208"/>
      <c r="JKM300" s="208"/>
      <c r="JKN300" s="208"/>
      <c r="JKO300" s="208"/>
      <c r="JKP300" s="208"/>
      <c r="JKQ300" s="208"/>
      <c r="JKR300" s="208"/>
      <c r="JKS300" s="208"/>
      <c r="JKT300" s="208"/>
      <c r="JKU300" s="208"/>
      <c r="JKV300" s="208"/>
      <c r="JKW300" s="208"/>
      <c r="JKX300" s="208"/>
      <c r="JKY300" s="208"/>
      <c r="JKZ300" s="208"/>
      <c r="JLA300" s="208"/>
      <c r="JLB300" s="208"/>
      <c r="JLC300" s="208"/>
      <c r="JLD300" s="208"/>
      <c r="JLE300" s="208"/>
      <c r="JLF300" s="208"/>
      <c r="JLG300" s="208"/>
      <c r="JLH300" s="208"/>
      <c r="JLI300" s="208"/>
      <c r="JLJ300" s="208"/>
      <c r="JLK300" s="208"/>
      <c r="JLL300" s="208"/>
      <c r="JLM300" s="208"/>
      <c r="JLN300" s="208"/>
      <c r="JLO300" s="208"/>
      <c r="JLP300" s="208"/>
      <c r="JLQ300" s="208"/>
      <c r="JLR300" s="208"/>
      <c r="JLS300" s="208"/>
      <c r="JLT300" s="208"/>
      <c r="JLU300" s="208"/>
      <c r="JLV300" s="208"/>
      <c r="JLW300" s="208"/>
      <c r="JLX300" s="208"/>
      <c r="JLY300" s="208"/>
      <c r="JLZ300" s="208"/>
      <c r="JMA300" s="208"/>
      <c r="JMB300" s="208"/>
      <c r="JMC300" s="208"/>
      <c r="JMD300" s="208"/>
      <c r="JME300" s="208"/>
      <c r="JMF300" s="208"/>
      <c r="JMG300" s="208"/>
      <c r="JMH300" s="208"/>
      <c r="JMI300" s="208"/>
      <c r="JMJ300" s="208"/>
      <c r="JMK300" s="208"/>
      <c r="JML300" s="208"/>
      <c r="JMM300" s="208"/>
      <c r="JMN300" s="208"/>
      <c r="JMO300" s="208"/>
      <c r="JMP300" s="208"/>
      <c r="JMQ300" s="208"/>
      <c r="JMR300" s="208"/>
      <c r="JMS300" s="208"/>
      <c r="JMT300" s="208"/>
      <c r="JMU300" s="208"/>
      <c r="JMV300" s="208"/>
      <c r="JMW300" s="208"/>
      <c r="JMX300" s="208"/>
      <c r="JMY300" s="208"/>
      <c r="JMZ300" s="208"/>
      <c r="JNA300" s="208"/>
      <c r="JNB300" s="208"/>
      <c r="JNC300" s="208"/>
      <c r="JND300" s="208"/>
      <c r="JNE300" s="208"/>
      <c r="JNF300" s="208"/>
      <c r="JNG300" s="208"/>
      <c r="JNH300" s="208"/>
      <c r="JNI300" s="208"/>
      <c r="JNJ300" s="208"/>
      <c r="JNK300" s="208"/>
      <c r="JNL300" s="208"/>
      <c r="JNM300" s="208"/>
      <c r="JNN300" s="208"/>
      <c r="JNO300" s="208"/>
      <c r="JNP300" s="208"/>
      <c r="JNQ300" s="208"/>
      <c r="JNR300" s="208"/>
      <c r="JNS300" s="208"/>
      <c r="JNT300" s="208"/>
      <c r="JNU300" s="208"/>
      <c r="JNV300" s="208"/>
      <c r="JNW300" s="208"/>
      <c r="JNX300" s="208"/>
      <c r="JNY300" s="208"/>
      <c r="JNZ300" s="208"/>
      <c r="JOA300" s="208"/>
      <c r="JOB300" s="208"/>
      <c r="JOC300" s="208"/>
      <c r="JOD300" s="208"/>
      <c r="JOE300" s="208"/>
      <c r="JOF300" s="208"/>
      <c r="JOG300" s="208"/>
      <c r="JOH300" s="208"/>
      <c r="JOI300" s="208"/>
      <c r="JOJ300" s="208"/>
      <c r="JOK300" s="208"/>
      <c r="JOL300" s="208"/>
      <c r="JOM300" s="208"/>
      <c r="JON300" s="208"/>
      <c r="JOO300" s="208"/>
      <c r="JOP300" s="208"/>
      <c r="JOQ300" s="208"/>
      <c r="JOR300" s="208"/>
      <c r="JOS300" s="208"/>
      <c r="JOT300" s="208"/>
      <c r="JOU300" s="208"/>
      <c r="JOV300" s="208"/>
      <c r="JOW300" s="208"/>
      <c r="JOX300" s="208"/>
      <c r="JOY300" s="208"/>
      <c r="JOZ300" s="208"/>
      <c r="JPA300" s="208"/>
      <c r="JPB300" s="208"/>
      <c r="JPC300" s="208"/>
      <c r="JPD300" s="208"/>
      <c r="JPE300" s="208"/>
      <c r="JPF300" s="208"/>
      <c r="JPG300" s="208"/>
      <c r="JPH300" s="208"/>
      <c r="JPI300" s="208"/>
      <c r="JPJ300" s="208"/>
      <c r="JPK300" s="208"/>
      <c r="JPL300" s="208"/>
      <c r="JPM300" s="208"/>
      <c r="JPN300" s="208"/>
      <c r="JPO300" s="208"/>
      <c r="JPP300" s="208"/>
      <c r="JPQ300" s="208"/>
      <c r="JPR300" s="208"/>
      <c r="JPS300" s="208"/>
      <c r="JPT300" s="208"/>
      <c r="JPU300" s="208"/>
      <c r="JPV300" s="208"/>
      <c r="JPW300" s="208"/>
      <c r="JPX300" s="208"/>
      <c r="JPY300" s="208"/>
      <c r="JPZ300" s="208"/>
      <c r="JQA300" s="208"/>
      <c r="JQB300" s="208"/>
      <c r="JQC300" s="208"/>
      <c r="JQD300" s="208"/>
      <c r="JQE300" s="208"/>
      <c r="JQF300" s="208"/>
      <c r="JQG300" s="208"/>
      <c r="JQH300" s="208"/>
      <c r="JQI300" s="208"/>
      <c r="JQJ300" s="208"/>
      <c r="JQK300" s="208"/>
      <c r="JQL300" s="208"/>
      <c r="JQM300" s="208"/>
      <c r="JQN300" s="208"/>
      <c r="JQO300" s="208"/>
      <c r="JQP300" s="208"/>
      <c r="JQQ300" s="208"/>
      <c r="JQR300" s="208"/>
      <c r="JQS300" s="208"/>
      <c r="JQT300" s="208"/>
      <c r="JQU300" s="208"/>
      <c r="JQV300" s="208"/>
      <c r="JQW300" s="208"/>
      <c r="JQX300" s="208"/>
      <c r="JQY300" s="208"/>
      <c r="JQZ300" s="208"/>
      <c r="JRA300" s="208"/>
      <c r="JRB300" s="208"/>
      <c r="JRC300" s="208"/>
      <c r="JRD300" s="208"/>
      <c r="JRE300" s="208"/>
      <c r="JRF300" s="208"/>
      <c r="JRG300" s="208"/>
      <c r="JRH300" s="208"/>
      <c r="JRI300" s="208"/>
      <c r="JRJ300" s="208"/>
      <c r="JRK300" s="208"/>
      <c r="JRL300" s="208"/>
      <c r="JRM300" s="208"/>
      <c r="JRN300" s="208"/>
      <c r="JRO300" s="208"/>
      <c r="JRP300" s="208"/>
      <c r="JRQ300" s="208"/>
      <c r="JRR300" s="208"/>
      <c r="JRS300" s="208"/>
      <c r="JRT300" s="208"/>
      <c r="JRU300" s="208"/>
      <c r="JRV300" s="208"/>
      <c r="JRW300" s="208"/>
      <c r="JRX300" s="208"/>
      <c r="JRY300" s="208"/>
      <c r="JRZ300" s="208"/>
      <c r="JSA300" s="208"/>
      <c r="JSB300" s="208"/>
      <c r="JSC300" s="208"/>
      <c r="JSD300" s="208"/>
      <c r="JSE300" s="208"/>
      <c r="JSF300" s="208"/>
      <c r="JSG300" s="208"/>
      <c r="JSH300" s="208"/>
      <c r="JSI300" s="208"/>
      <c r="JSJ300" s="208"/>
      <c r="JSK300" s="208"/>
      <c r="JSL300" s="208"/>
      <c r="JSM300" s="208"/>
      <c r="JSN300" s="208"/>
      <c r="JSO300" s="208"/>
      <c r="JSP300" s="208"/>
      <c r="JSQ300" s="208"/>
      <c r="JSR300" s="208"/>
      <c r="JSS300" s="208"/>
      <c r="JST300" s="208"/>
      <c r="JSU300" s="208"/>
      <c r="JSV300" s="208"/>
      <c r="JSW300" s="208"/>
      <c r="JSX300" s="208"/>
      <c r="JSY300" s="208"/>
      <c r="JSZ300" s="208"/>
      <c r="JTA300" s="208"/>
      <c r="JTB300" s="208"/>
      <c r="JTC300" s="208"/>
      <c r="JTD300" s="208"/>
      <c r="JTE300" s="208"/>
      <c r="JTF300" s="208"/>
      <c r="JTG300" s="208"/>
      <c r="JTH300" s="208"/>
      <c r="JTI300" s="208"/>
      <c r="JTJ300" s="208"/>
      <c r="JTK300" s="208"/>
      <c r="JTL300" s="208"/>
      <c r="JTM300" s="208"/>
      <c r="JTN300" s="208"/>
      <c r="JTO300" s="208"/>
      <c r="JTP300" s="208"/>
      <c r="JTQ300" s="208"/>
      <c r="JTR300" s="208"/>
      <c r="JTS300" s="208"/>
      <c r="JTT300" s="208"/>
      <c r="JTU300" s="208"/>
      <c r="JTV300" s="208"/>
      <c r="JTW300" s="208"/>
      <c r="JTX300" s="208"/>
      <c r="JTY300" s="208"/>
      <c r="JTZ300" s="208"/>
      <c r="JUA300" s="208"/>
      <c r="JUB300" s="208"/>
      <c r="JUC300" s="208"/>
      <c r="JUD300" s="208"/>
      <c r="JUE300" s="208"/>
      <c r="JUF300" s="208"/>
      <c r="JUG300" s="208"/>
      <c r="JUH300" s="208"/>
      <c r="JUI300" s="208"/>
      <c r="JUJ300" s="208"/>
      <c r="JUK300" s="208"/>
      <c r="JUL300" s="208"/>
      <c r="JUM300" s="208"/>
      <c r="JUN300" s="208"/>
      <c r="JUO300" s="208"/>
      <c r="JUP300" s="208"/>
      <c r="JUQ300" s="208"/>
      <c r="JUR300" s="208"/>
      <c r="JUS300" s="208"/>
      <c r="JUT300" s="208"/>
      <c r="JUU300" s="208"/>
      <c r="JUV300" s="208"/>
      <c r="JUW300" s="208"/>
      <c r="JUX300" s="208"/>
      <c r="JUY300" s="208"/>
      <c r="JUZ300" s="208"/>
      <c r="JVA300" s="208"/>
      <c r="JVB300" s="208"/>
      <c r="JVC300" s="208"/>
      <c r="JVD300" s="208"/>
      <c r="JVE300" s="208"/>
      <c r="JVF300" s="208"/>
      <c r="JVG300" s="208"/>
      <c r="JVH300" s="208"/>
      <c r="JVI300" s="208"/>
      <c r="JVJ300" s="208"/>
      <c r="JVK300" s="208"/>
      <c r="JVL300" s="208"/>
      <c r="JVM300" s="208"/>
      <c r="JVN300" s="208"/>
      <c r="JVO300" s="208"/>
      <c r="JVP300" s="208"/>
      <c r="JVQ300" s="208"/>
      <c r="JVR300" s="208"/>
      <c r="JVS300" s="208"/>
      <c r="JVT300" s="208"/>
      <c r="JVU300" s="208"/>
      <c r="JVV300" s="208"/>
      <c r="JVW300" s="208"/>
      <c r="JVX300" s="208"/>
      <c r="JVY300" s="208"/>
      <c r="JVZ300" s="208"/>
      <c r="JWA300" s="208"/>
      <c r="JWB300" s="208"/>
      <c r="JWC300" s="208"/>
      <c r="JWD300" s="208"/>
      <c r="JWE300" s="208"/>
      <c r="JWF300" s="208"/>
      <c r="JWG300" s="208"/>
      <c r="JWH300" s="208"/>
      <c r="JWI300" s="208"/>
      <c r="JWJ300" s="208"/>
      <c r="JWK300" s="208"/>
      <c r="JWL300" s="208"/>
      <c r="JWM300" s="208"/>
      <c r="JWN300" s="208"/>
      <c r="JWO300" s="208"/>
      <c r="JWP300" s="208"/>
      <c r="JWQ300" s="208"/>
      <c r="JWR300" s="208"/>
      <c r="JWS300" s="208"/>
      <c r="JWT300" s="208"/>
      <c r="JWU300" s="208"/>
      <c r="JWV300" s="208"/>
      <c r="JWW300" s="208"/>
      <c r="JWX300" s="208"/>
      <c r="JWY300" s="208"/>
      <c r="JWZ300" s="208"/>
      <c r="JXA300" s="208"/>
      <c r="JXB300" s="208"/>
      <c r="JXC300" s="208"/>
      <c r="JXD300" s="208"/>
      <c r="JXE300" s="208"/>
      <c r="JXF300" s="208"/>
      <c r="JXG300" s="208"/>
      <c r="JXH300" s="208"/>
      <c r="JXI300" s="208"/>
      <c r="JXJ300" s="208"/>
      <c r="JXK300" s="208"/>
      <c r="JXL300" s="208"/>
      <c r="JXM300" s="208"/>
      <c r="JXN300" s="208"/>
      <c r="JXO300" s="208"/>
      <c r="JXP300" s="208"/>
      <c r="JXQ300" s="208"/>
      <c r="JXR300" s="208"/>
      <c r="JXS300" s="208"/>
      <c r="JXT300" s="208"/>
      <c r="JXU300" s="208"/>
      <c r="JXV300" s="208"/>
      <c r="JXW300" s="208"/>
      <c r="JXX300" s="208"/>
      <c r="JXY300" s="208"/>
      <c r="JXZ300" s="208"/>
      <c r="JYA300" s="208"/>
      <c r="JYB300" s="208"/>
      <c r="JYC300" s="208"/>
      <c r="JYD300" s="208"/>
      <c r="JYE300" s="208"/>
      <c r="JYF300" s="208"/>
      <c r="JYG300" s="208"/>
      <c r="JYH300" s="208"/>
      <c r="JYI300" s="208"/>
      <c r="JYJ300" s="208"/>
      <c r="JYK300" s="208"/>
      <c r="JYL300" s="208"/>
      <c r="JYM300" s="208"/>
      <c r="JYN300" s="208"/>
      <c r="JYO300" s="208"/>
      <c r="JYP300" s="208"/>
      <c r="JYQ300" s="208"/>
      <c r="JYR300" s="208"/>
      <c r="JYS300" s="208"/>
      <c r="JYT300" s="208"/>
      <c r="JYU300" s="208"/>
      <c r="JYV300" s="208"/>
      <c r="JYW300" s="208"/>
      <c r="JYX300" s="208"/>
      <c r="JYY300" s="208"/>
      <c r="JYZ300" s="208"/>
      <c r="JZA300" s="208"/>
      <c r="JZB300" s="208"/>
      <c r="JZC300" s="208"/>
      <c r="JZD300" s="208"/>
      <c r="JZE300" s="208"/>
      <c r="JZF300" s="208"/>
      <c r="JZG300" s="208"/>
      <c r="JZH300" s="208"/>
      <c r="JZI300" s="208"/>
      <c r="JZJ300" s="208"/>
      <c r="JZK300" s="208"/>
      <c r="JZL300" s="208"/>
      <c r="JZM300" s="208"/>
      <c r="JZN300" s="208"/>
      <c r="JZO300" s="208"/>
      <c r="JZP300" s="208"/>
      <c r="JZQ300" s="208"/>
      <c r="JZR300" s="208"/>
      <c r="JZS300" s="208"/>
      <c r="JZT300" s="208"/>
      <c r="JZU300" s="208"/>
      <c r="JZV300" s="208"/>
      <c r="JZW300" s="208"/>
      <c r="JZX300" s="208"/>
      <c r="JZY300" s="208"/>
      <c r="JZZ300" s="208"/>
      <c r="KAA300" s="208"/>
      <c r="KAB300" s="208"/>
      <c r="KAC300" s="208"/>
      <c r="KAD300" s="208"/>
      <c r="KAE300" s="208"/>
      <c r="KAF300" s="208"/>
      <c r="KAG300" s="208"/>
      <c r="KAH300" s="208"/>
      <c r="KAI300" s="208"/>
      <c r="KAJ300" s="208"/>
      <c r="KAK300" s="208"/>
      <c r="KAL300" s="208"/>
      <c r="KAM300" s="208"/>
      <c r="KAN300" s="208"/>
      <c r="KAO300" s="208"/>
      <c r="KAP300" s="208"/>
      <c r="KAQ300" s="208"/>
      <c r="KAR300" s="208"/>
      <c r="KAS300" s="208"/>
      <c r="KAT300" s="208"/>
      <c r="KAU300" s="208"/>
      <c r="KAV300" s="208"/>
      <c r="KAW300" s="208"/>
      <c r="KAX300" s="208"/>
      <c r="KAY300" s="208"/>
      <c r="KAZ300" s="208"/>
      <c r="KBA300" s="208"/>
      <c r="KBB300" s="208"/>
      <c r="KBC300" s="208"/>
      <c r="KBD300" s="208"/>
      <c r="KBE300" s="208"/>
      <c r="KBF300" s="208"/>
      <c r="KBG300" s="208"/>
      <c r="KBH300" s="208"/>
      <c r="KBI300" s="208"/>
      <c r="KBJ300" s="208"/>
      <c r="KBK300" s="208"/>
      <c r="KBL300" s="208"/>
      <c r="KBM300" s="208"/>
      <c r="KBN300" s="208"/>
      <c r="KBO300" s="208"/>
      <c r="KBP300" s="208"/>
      <c r="KBQ300" s="208"/>
      <c r="KBR300" s="208"/>
      <c r="KBS300" s="208"/>
      <c r="KBT300" s="208"/>
      <c r="KBU300" s="208"/>
      <c r="KBV300" s="208"/>
      <c r="KBW300" s="208"/>
      <c r="KBX300" s="208"/>
      <c r="KBY300" s="208"/>
      <c r="KBZ300" s="208"/>
      <c r="KCA300" s="208"/>
      <c r="KCB300" s="208"/>
      <c r="KCC300" s="208"/>
      <c r="KCD300" s="208"/>
      <c r="KCE300" s="208"/>
      <c r="KCF300" s="208"/>
      <c r="KCG300" s="208"/>
      <c r="KCH300" s="208"/>
      <c r="KCI300" s="208"/>
      <c r="KCJ300" s="208"/>
      <c r="KCK300" s="208"/>
      <c r="KCL300" s="208"/>
      <c r="KCM300" s="208"/>
      <c r="KCN300" s="208"/>
      <c r="KCO300" s="208"/>
      <c r="KCP300" s="208"/>
      <c r="KCQ300" s="208"/>
      <c r="KCR300" s="208"/>
      <c r="KCS300" s="208"/>
      <c r="KCT300" s="208"/>
      <c r="KCU300" s="208"/>
      <c r="KCV300" s="208"/>
      <c r="KCW300" s="208"/>
      <c r="KCX300" s="208"/>
      <c r="KCY300" s="208"/>
      <c r="KCZ300" s="208"/>
      <c r="KDA300" s="208"/>
      <c r="KDB300" s="208"/>
      <c r="KDC300" s="208"/>
      <c r="KDD300" s="208"/>
      <c r="KDE300" s="208"/>
      <c r="KDF300" s="208"/>
      <c r="KDG300" s="208"/>
      <c r="KDH300" s="208"/>
      <c r="KDI300" s="208"/>
      <c r="KDJ300" s="208"/>
      <c r="KDK300" s="208"/>
      <c r="KDL300" s="208"/>
      <c r="KDM300" s="208"/>
      <c r="KDN300" s="208"/>
      <c r="KDO300" s="208"/>
      <c r="KDP300" s="208"/>
      <c r="KDQ300" s="208"/>
      <c r="KDR300" s="208"/>
      <c r="KDS300" s="208"/>
      <c r="KDT300" s="208"/>
      <c r="KDU300" s="208"/>
      <c r="KDV300" s="208"/>
      <c r="KDW300" s="208"/>
      <c r="KDX300" s="208"/>
      <c r="KDY300" s="208"/>
      <c r="KDZ300" s="208"/>
      <c r="KEA300" s="208"/>
      <c r="KEB300" s="208"/>
      <c r="KEC300" s="208"/>
      <c r="KED300" s="208"/>
      <c r="KEE300" s="208"/>
      <c r="KEF300" s="208"/>
      <c r="KEG300" s="208"/>
      <c r="KEH300" s="208"/>
      <c r="KEI300" s="208"/>
      <c r="KEJ300" s="208"/>
      <c r="KEK300" s="208"/>
      <c r="KEL300" s="208"/>
      <c r="KEM300" s="208"/>
      <c r="KEN300" s="208"/>
      <c r="KEO300" s="208"/>
      <c r="KEP300" s="208"/>
      <c r="KEQ300" s="208"/>
      <c r="KER300" s="208"/>
      <c r="KES300" s="208"/>
      <c r="KET300" s="208"/>
      <c r="KEU300" s="208"/>
      <c r="KEV300" s="208"/>
      <c r="KEW300" s="208"/>
      <c r="KEX300" s="208"/>
      <c r="KEY300" s="208"/>
      <c r="KEZ300" s="208"/>
      <c r="KFA300" s="208"/>
      <c r="KFB300" s="208"/>
      <c r="KFC300" s="208"/>
      <c r="KFD300" s="208"/>
      <c r="KFE300" s="208"/>
      <c r="KFF300" s="208"/>
      <c r="KFG300" s="208"/>
      <c r="KFH300" s="208"/>
      <c r="KFI300" s="208"/>
      <c r="KFJ300" s="208"/>
      <c r="KFK300" s="208"/>
      <c r="KFL300" s="208"/>
      <c r="KFM300" s="208"/>
      <c r="KFN300" s="208"/>
      <c r="KFO300" s="208"/>
      <c r="KFP300" s="208"/>
      <c r="KFQ300" s="208"/>
      <c r="KFR300" s="208"/>
      <c r="KFS300" s="208"/>
      <c r="KFT300" s="208"/>
      <c r="KFU300" s="208"/>
      <c r="KFV300" s="208"/>
      <c r="KFW300" s="208"/>
      <c r="KFX300" s="208"/>
      <c r="KFY300" s="208"/>
      <c r="KFZ300" s="208"/>
      <c r="KGA300" s="208"/>
      <c r="KGB300" s="208"/>
      <c r="KGC300" s="208"/>
      <c r="KGD300" s="208"/>
      <c r="KGE300" s="208"/>
      <c r="KGF300" s="208"/>
      <c r="KGG300" s="208"/>
      <c r="KGH300" s="208"/>
      <c r="KGI300" s="208"/>
      <c r="KGJ300" s="208"/>
      <c r="KGK300" s="208"/>
      <c r="KGL300" s="208"/>
      <c r="KGM300" s="208"/>
      <c r="KGN300" s="208"/>
      <c r="KGO300" s="208"/>
      <c r="KGP300" s="208"/>
      <c r="KGQ300" s="208"/>
      <c r="KGR300" s="208"/>
      <c r="KGS300" s="208"/>
      <c r="KGT300" s="208"/>
      <c r="KGU300" s="208"/>
      <c r="KGV300" s="208"/>
      <c r="KGW300" s="208"/>
      <c r="KGX300" s="208"/>
      <c r="KGY300" s="208"/>
      <c r="KGZ300" s="208"/>
      <c r="KHA300" s="208"/>
      <c r="KHB300" s="208"/>
      <c r="KHC300" s="208"/>
      <c r="KHD300" s="208"/>
      <c r="KHE300" s="208"/>
      <c r="KHF300" s="208"/>
      <c r="KHG300" s="208"/>
      <c r="KHH300" s="208"/>
      <c r="KHI300" s="208"/>
      <c r="KHJ300" s="208"/>
      <c r="KHK300" s="208"/>
      <c r="KHL300" s="208"/>
      <c r="KHM300" s="208"/>
      <c r="KHN300" s="208"/>
      <c r="KHO300" s="208"/>
      <c r="KHP300" s="208"/>
      <c r="KHQ300" s="208"/>
      <c r="KHR300" s="208"/>
      <c r="KHS300" s="208"/>
      <c r="KHT300" s="208"/>
      <c r="KHU300" s="208"/>
      <c r="KHV300" s="208"/>
      <c r="KHW300" s="208"/>
      <c r="KHX300" s="208"/>
      <c r="KHY300" s="208"/>
      <c r="KHZ300" s="208"/>
      <c r="KIA300" s="208"/>
      <c r="KIB300" s="208"/>
      <c r="KIC300" s="208"/>
      <c r="KID300" s="208"/>
      <c r="KIE300" s="208"/>
      <c r="KIF300" s="208"/>
      <c r="KIG300" s="208"/>
      <c r="KIH300" s="208"/>
      <c r="KII300" s="208"/>
      <c r="KIJ300" s="208"/>
      <c r="KIK300" s="208"/>
      <c r="KIL300" s="208"/>
      <c r="KIM300" s="208"/>
      <c r="KIN300" s="208"/>
      <c r="KIO300" s="208"/>
      <c r="KIP300" s="208"/>
      <c r="KIQ300" s="208"/>
      <c r="KIR300" s="208"/>
      <c r="KIS300" s="208"/>
      <c r="KIT300" s="208"/>
      <c r="KIU300" s="208"/>
      <c r="KIV300" s="208"/>
      <c r="KIW300" s="208"/>
      <c r="KIX300" s="208"/>
      <c r="KIY300" s="208"/>
      <c r="KIZ300" s="208"/>
      <c r="KJA300" s="208"/>
      <c r="KJB300" s="208"/>
      <c r="KJC300" s="208"/>
      <c r="KJD300" s="208"/>
      <c r="KJE300" s="208"/>
      <c r="KJF300" s="208"/>
      <c r="KJG300" s="208"/>
      <c r="KJH300" s="208"/>
      <c r="KJI300" s="208"/>
      <c r="KJJ300" s="208"/>
      <c r="KJK300" s="208"/>
      <c r="KJL300" s="208"/>
      <c r="KJM300" s="208"/>
      <c r="KJN300" s="208"/>
      <c r="KJO300" s="208"/>
      <c r="KJP300" s="208"/>
      <c r="KJQ300" s="208"/>
      <c r="KJR300" s="208"/>
      <c r="KJS300" s="208"/>
      <c r="KJT300" s="208"/>
      <c r="KJU300" s="208"/>
      <c r="KJV300" s="208"/>
      <c r="KJW300" s="208"/>
      <c r="KJX300" s="208"/>
      <c r="KJY300" s="208"/>
      <c r="KJZ300" s="208"/>
      <c r="KKA300" s="208"/>
      <c r="KKB300" s="208"/>
      <c r="KKC300" s="208"/>
      <c r="KKD300" s="208"/>
      <c r="KKE300" s="208"/>
      <c r="KKF300" s="208"/>
      <c r="KKG300" s="208"/>
      <c r="KKH300" s="208"/>
      <c r="KKI300" s="208"/>
      <c r="KKJ300" s="208"/>
      <c r="KKK300" s="208"/>
      <c r="KKL300" s="208"/>
      <c r="KKM300" s="208"/>
      <c r="KKN300" s="208"/>
      <c r="KKO300" s="208"/>
      <c r="KKP300" s="208"/>
      <c r="KKQ300" s="208"/>
      <c r="KKR300" s="208"/>
      <c r="KKS300" s="208"/>
      <c r="KKT300" s="208"/>
      <c r="KKU300" s="208"/>
      <c r="KKV300" s="208"/>
      <c r="KKW300" s="208"/>
      <c r="KKX300" s="208"/>
      <c r="KKY300" s="208"/>
      <c r="KKZ300" s="208"/>
      <c r="KLA300" s="208"/>
      <c r="KLB300" s="208"/>
      <c r="KLC300" s="208"/>
      <c r="KLD300" s="208"/>
      <c r="KLE300" s="208"/>
      <c r="KLF300" s="208"/>
      <c r="KLG300" s="208"/>
      <c r="KLH300" s="208"/>
      <c r="KLI300" s="208"/>
      <c r="KLJ300" s="208"/>
      <c r="KLK300" s="208"/>
      <c r="KLL300" s="208"/>
      <c r="KLM300" s="208"/>
      <c r="KLN300" s="208"/>
      <c r="KLO300" s="208"/>
      <c r="KLP300" s="208"/>
      <c r="KLQ300" s="208"/>
      <c r="KLR300" s="208"/>
      <c r="KLS300" s="208"/>
      <c r="KLT300" s="208"/>
      <c r="KLU300" s="208"/>
      <c r="KLV300" s="208"/>
      <c r="KLW300" s="208"/>
      <c r="KLX300" s="208"/>
      <c r="KLY300" s="208"/>
      <c r="KLZ300" s="208"/>
      <c r="KMA300" s="208"/>
      <c r="KMB300" s="208"/>
      <c r="KMC300" s="208"/>
      <c r="KMD300" s="208"/>
      <c r="KME300" s="208"/>
      <c r="KMF300" s="208"/>
      <c r="KMG300" s="208"/>
      <c r="KMH300" s="208"/>
      <c r="KMI300" s="208"/>
      <c r="KMJ300" s="208"/>
      <c r="KMK300" s="208"/>
      <c r="KML300" s="208"/>
      <c r="KMM300" s="208"/>
      <c r="KMN300" s="208"/>
      <c r="KMO300" s="208"/>
      <c r="KMP300" s="208"/>
      <c r="KMQ300" s="208"/>
      <c r="KMR300" s="208"/>
      <c r="KMS300" s="208"/>
      <c r="KMT300" s="208"/>
      <c r="KMU300" s="208"/>
      <c r="KMV300" s="208"/>
      <c r="KMW300" s="208"/>
      <c r="KMX300" s="208"/>
      <c r="KMY300" s="208"/>
      <c r="KMZ300" s="208"/>
      <c r="KNA300" s="208"/>
      <c r="KNB300" s="208"/>
      <c r="KNC300" s="208"/>
      <c r="KND300" s="208"/>
      <c r="KNE300" s="208"/>
      <c r="KNF300" s="208"/>
      <c r="KNG300" s="208"/>
      <c r="KNH300" s="208"/>
      <c r="KNI300" s="208"/>
      <c r="KNJ300" s="208"/>
      <c r="KNK300" s="208"/>
      <c r="KNL300" s="208"/>
      <c r="KNM300" s="208"/>
      <c r="KNN300" s="208"/>
      <c r="KNO300" s="208"/>
      <c r="KNP300" s="208"/>
      <c r="KNQ300" s="208"/>
      <c r="KNR300" s="208"/>
      <c r="KNS300" s="208"/>
      <c r="KNT300" s="208"/>
      <c r="KNU300" s="208"/>
      <c r="KNV300" s="208"/>
      <c r="KNW300" s="208"/>
      <c r="KNX300" s="208"/>
      <c r="KNY300" s="208"/>
      <c r="KNZ300" s="208"/>
      <c r="KOA300" s="208"/>
      <c r="KOB300" s="208"/>
      <c r="KOC300" s="208"/>
      <c r="KOD300" s="208"/>
      <c r="KOE300" s="208"/>
      <c r="KOF300" s="208"/>
      <c r="KOG300" s="208"/>
      <c r="KOH300" s="208"/>
      <c r="KOI300" s="208"/>
      <c r="KOJ300" s="208"/>
      <c r="KOK300" s="208"/>
      <c r="KOL300" s="208"/>
      <c r="KOM300" s="208"/>
      <c r="KON300" s="208"/>
      <c r="KOO300" s="208"/>
      <c r="KOP300" s="208"/>
      <c r="KOQ300" s="208"/>
      <c r="KOR300" s="208"/>
      <c r="KOS300" s="208"/>
      <c r="KOT300" s="208"/>
      <c r="KOU300" s="208"/>
      <c r="KOV300" s="208"/>
      <c r="KOW300" s="208"/>
      <c r="KOX300" s="208"/>
      <c r="KOY300" s="208"/>
      <c r="KOZ300" s="208"/>
      <c r="KPA300" s="208"/>
      <c r="KPB300" s="208"/>
      <c r="KPC300" s="208"/>
      <c r="KPD300" s="208"/>
      <c r="KPE300" s="208"/>
      <c r="KPF300" s="208"/>
      <c r="KPG300" s="208"/>
      <c r="KPH300" s="208"/>
      <c r="KPI300" s="208"/>
      <c r="KPJ300" s="208"/>
      <c r="KPK300" s="208"/>
      <c r="KPL300" s="208"/>
      <c r="KPM300" s="208"/>
      <c r="KPN300" s="208"/>
      <c r="KPO300" s="208"/>
      <c r="KPP300" s="208"/>
      <c r="KPQ300" s="208"/>
      <c r="KPR300" s="208"/>
      <c r="KPS300" s="208"/>
      <c r="KPT300" s="208"/>
      <c r="KPU300" s="208"/>
      <c r="KPV300" s="208"/>
      <c r="KPW300" s="208"/>
      <c r="KPX300" s="208"/>
      <c r="KPY300" s="208"/>
      <c r="KPZ300" s="208"/>
      <c r="KQA300" s="208"/>
      <c r="KQB300" s="208"/>
      <c r="KQC300" s="208"/>
      <c r="KQD300" s="208"/>
      <c r="KQE300" s="208"/>
      <c r="KQF300" s="208"/>
      <c r="KQG300" s="208"/>
      <c r="KQH300" s="208"/>
      <c r="KQI300" s="208"/>
      <c r="KQJ300" s="208"/>
      <c r="KQK300" s="208"/>
      <c r="KQL300" s="208"/>
      <c r="KQM300" s="208"/>
      <c r="KQN300" s="208"/>
      <c r="KQO300" s="208"/>
      <c r="KQP300" s="208"/>
      <c r="KQQ300" s="208"/>
      <c r="KQR300" s="208"/>
      <c r="KQS300" s="208"/>
      <c r="KQT300" s="208"/>
      <c r="KQU300" s="208"/>
      <c r="KQV300" s="208"/>
      <c r="KQW300" s="208"/>
      <c r="KQX300" s="208"/>
      <c r="KQY300" s="208"/>
      <c r="KQZ300" s="208"/>
      <c r="KRA300" s="208"/>
      <c r="KRB300" s="208"/>
      <c r="KRC300" s="208"/>
      <c r="KRD300" s="208"/>
      <c r="KRE300" s="208"/>
      <c r="KRF300" s="208"/>
      <c r="KRG300" s="208"/>
      <c r="KRH300" s="208"/>
      <c r="KRI300" s="208"/>
      <c r="KRJ300" s="208"/>
      <c r="KRK300" s="208"/>
      <c r="KRL300" s="208"/>
      <c r="KRM300" s="208"/>
      <c r="KRN300" s="208"/>
      <c r="KRO300" s="208"/>
      <c r="KRP300" s="208"/>
      <c r="KRQ300" s="208"/>
      <c r="KRR300" s="208"/>
      <c r="KRS300" s="208"/>
      <c r="KRT300" s="208"/>
      <c r="KRU300" s="208"/>
      <c r="KRV300" s="208"/>
      <c r="KRW300" s="208"/>
      <c r="KRX300" s="208"/>
      <c r="KRY300" s="208"/>
      <c r="KRZ300" s="208"/>
      <c r="KSA300" s="208"/>
      <c r="KSB300" s="208"/>
      <c r="KSC300" s="208"/>
      <c r="KSD300" s="208"/>
      <c r="KSE300" s="208"/>
      <c r="KSF300" s="208"/>
      <c r="KSG300" s="208"/>
      <c r="KSH300" s="208"/>
      <c r="KSI300" s="208"/>
      <c r="KSJ300" s="208"/>
      <c r="KSK300" s="208"/>
      <c r="KSL300" s="208"/>
      <c r="KSM300" s="208"/>
      <c r="KSN300" s="208"/>
      <c r="KSO300" s="208"/>
      <c r="KSP300" s="208"/>
      <c r="KSQ300" s="208"/>
      <c r="KSR300" s="208"/>
      <c r="KSS300" s="208"/>
      <c r="KST300" s="208"/>
      <c r="KSU300" s="208"/>
      <c r="KSV300" s="208"/>
      <c r="KSW300" s="208"/>
      <c r="KSX300" s="208"/>
      <c r="KSY300" s="208"/>
      <c r="KSZ300" s="208"/>
      <c r="KTA300" s="208"/>
      <c r="KTB300" s="208"/>
      <c r="KTC300" s="208"/>
      <c r="KTD300" s="208"/>
      <c r="KTE300" s="208"/>
      <c r="KTF300" s="208"/>
      <c r="KTG300" s="208"/>
      <c r="KTH300" s="208"/>
      <c r="KTI300" s="208"/>
      <c r="KTJ300" s="208"/>
      <c r="KTK300" s="208"/>
      <c r="KTL300" s="208"/>
      <c r="KTM300" s="208"/>
      <c r="KTN300" s="208"/>
      <c r="KTO300" s="208"/>
      <c r="KTP300" s="208"/>
      <c r="KTQ300" s="208"/>
      <c r="KTR300" s="208"/>
      <c r="KTS300" s="208"/>
      <c r="KTT300" s="208"/>
      <c r="KTU300" s="208"/>
      <c r="KTV300" s="208"/>
      <c r="KTW300" s="208"/>
      <c r="KTX300" s="208"/>
      <c r="KTY300" s="208"/>
      <c r="KTZ300" s="208"/>
      <c r="KUA300" s="208"/>
      <c r="KUB300" s="208"/>
      <c r="KUC300" s="208"/>
      <c r="KUD300" s="208"/>
      <c r="KUE300" s="208"/>
      <c r="KUF300" s="208"/>
      <c r="KUG300" s="208"/>
      <c r="KUH300" s="208"/>
      <c r="KUI300" s="208"/>
      <c r="KUJ300" s="208"/>
      <c r="KUK300" s="208"/>
      <c r="KUL300" s="208"/>
      <c r="KUM300" s="208"/>
      <c r="KUN300" s="208"/>
      <c r="KUO300" s="208"/>
      <c r="KUP300" s="208"/>
      <c r="KUQ300" s="208"/>
      <c r="KUR300" s="208"/>
      <c r="KUS300" s="208"/>
      <c r="KUT300" s="208"/>
      <c r="KUU300" s="208"/>
      <c r="KUV300" s="208"/>
      <c r="KUW300" s="208"/>
      <c r="KUX300" s="208"/>
      <c r="KUY300" s="208"/>
      <c r="KUZ300" s="208"/>
      <c r="KVA300" s="208"/>
      <c r="KVB300" s="208"/>
      <c r="KVC300" s="208"/>
      <c r="KVD300" s="208"/>
      <c r="KVE300" s="208"/>
      <c r="KVF300" s="208"/>
      <c r="KVG300" s="208"/>
      <c r="KVH300" s="208"/>
      <c r="KVI300" s="208"/>
      <c r="KVJ300" s="208"/>
      <c r="KVK300" s="208"/>
      <c r="KVL300" s="208"/>
      <c r="KVM300" s="208"/>
      <c r="KVN300" s="208"/>
      <c r="KVO300" s="208"/>
      <c r="KVP300" s="208"/>
      <c r="KVQ300" s="208"/>
      <c r="KVR300" s="208"/>
      <c r="KVS300" s="208"/>
      <c r="KVT300" s="208"/>
      <c r="KVU300" s="208"/>
      <c r="KVV300" s="208"/>
      <c r="KVW300" s="208"/>
      <c r="KVX300" s="208"/>
      <c r="KVY300" s="208"/>
      <c r="KVZ300" s="208"/>
      <c r="KWA300" s="208"/>
      <c r="KWB300" s="208"/>
      <c r="KWC300" s="208"/>
      <c r="KWD300" s="208"/>
      <c r="KWE300" s="208"/>
      <c r="KWF300" s="208"/>
      <c r="KWG300" s="208"/>
      <c r="KWH300" s="208"/>
      <c r="KWI300" s="208"/>
      <c r="KWJ300" s="208"/>
      <c r="KWK300" s="208"/>
      <c r="KWL300" s="208"/>
      <c r="KWM300" s="208"/>
      <c r="KWN300" s="208"/>
      <c r="KWO300" s="208"/>
      <c r="KWP300" s="208"/>
      <c r="KWQ300" s="208"/>
      <c r="KWR300" s="208"/>
      <c r="KWS300" s="208"/>
      <c r="KWT300" s="208"/>
      <c r="KWU300" s="208"/>
      <c r="KWV300" s="208"/>
      <c r="KWW300" s="208"/>
      <c r="KWX300" s="208"/>
      <c r="KWY300" s="208"/>
      <c r="KWZ300" s="208"/>
      <c r="KXA300" s="208"/>
      <c r="KXB300" s="208"/>
      <c r="KXC300" s="208"/>
      <c r="KXD300" s="208"/>
      <c r="KXE300" s="208"/>
      <c r="KXF300" s="208"/>
      <c r="KXG300" s="208"/>
      <c r="KXH300" s="208"/>
      <c r="KXI300" s="208"/>
      <c r="KXJ300" s="208"/>
      <c r="KXK300" s="208"/>
      <c r="KXL300" s="208"/>
      <c r="KXM300" s="208"/>
      <c r="KXN300" s="208"/>
      <c r="KXO300" s="208"/>
      <c r="KXP300" s="208"/>
      <c r="KXQ300" s="208"/>
      <c r="KXR300" s="208"/>
      <c r="KXS300" s="208"/>
      <c r="KXT300" s="208"/>
      <c r="KXU300" s="208"/>
      <c r="KXV300" s="208"/>
      <c r="KXW300" s="208"/>
      <c r="KXX300" s="208"/>
      <c r="KXY300" s="208"/>
      <c r="KXZ300" s="208"/>
      <c r="KYA300" s="208"/>
      <c r="KYB300" s="208"/>
      <c r="KYC300" s="208"/>
      <c r="KYD300" s="208"/>
      <c r="KYE300" s="208"/>
      <c r="KYF300" s="208"/>
      <c r="KYG300" s="208"/>
      <c r="KYH300" s="208"/>
      <c r="KYI300" s="208"/>
      <c r="KYJ300" s="208"/>
      <c r="KYK300" s="208"/>
      <c r="KYL300" s="208"/>
      <c r="KYM300" s="208"/>
      <c r="KYN300" s="208"/>
      <c r="KYO300" s="208"/>
      <c r="KYP300" s="208"/>
      <c r="KYQ300" s="208"/>
      <c r="KYR300" s="208"/>
      <c r="KYS300" s="208"/>
      <c r="KYT300" s="208"/>
      <c r="KYU300" s="208"/>
      <c r="KYV300" s="208"/>
      <c r="KYW300" s="208"/>
      <c r="KYX300" s="208"/>
      <c r="KYY300" s="208"/>
      <c r="KYZ300" s="208"/>
      <c r="KZA300" s="208"/>
      <c r="KZB300" s="208"/>
      <c r="KZC300" s="208"/>
      <c r="KZD300" s="208"/>
      <c r="KZE300" s="208"/>
      <c r="KZF300" s="208"/>
      <c r="KZG300" s="208"/>
      <c r="KZH300" s="208"/>
      <c r="KZI300" s="208"/>
      <c r="KZJ300" s="208"/>
      <c r="KZK300" s="208"/>
      <c r="KZL300" s="208"/>
      <c r="KZM300" s="208"/>
      <c r="KZN300" s="208"/>
      <c r="KZO300" s="208"/>
      <c r="KZP300" s="208"/>
      <c r="KZQ300" s="208"/>
      <c r="KZR300" s="208"/>
      <c r="KZS300" s="208"/>
      <c r="KZT300" s="208"/>
      <c r="KZU300" s="208"/>
      <c r="KZV300" s="208"/>
      <c r="KZW300" s="208"/>
      <c r="KZX300" s="208"/>
      <c r="KZY300" s="208"/>
      <c r="KZZ300" s="208"/>
      <c r="LAA300" s="208"/>
      <c r="LAB300" s="208"/>
      <c r="LAC300" s="208"/>
      <c r="LAD300" s="208"/>
      <c r="LAE300" s="208"/>
      <c r="LAF300" s="208"/>
      <c r="LAG300" s="208"/>
      <c r="LAH300" s="208"/>
      <c r="LAI300" s="208"/>
      <c r="LAJ300" s="208"/>
      <c r="LAK300" s="208"/>
      <c r="LAL300" s="208"/>
      <c r="LAM300" s="208"/>
      <c r="LAN300" s="208"/>
      <c r="LAO300" s="208"/>
      <c r="LAP300" s="208"/>
      <c r="LAQ300" s="208"/>
      <c r="LAR300" s="208"/>
      <c r="LAS300" s="208"/>
      <c r="LAT300" s="208"/>
      <c r="LAU300" s="208"/>
      <c r="LAV300" s="208"/>
      <c r="LAW300" s="208"/>
      <c r="LAX300" s="208"/>
      <c r="LAY300" s="208"/>
      <c r="LAZ300" s="208"/>
      <c r="LBA300" s="208"/>
      <c r="LBB300" s="208"/>
      <c r="LBC300" s="208"/>
      <c r="LBD300" s="208"/>
      <c r="LBE300" s="208"/>
      <c r="LBF300" s="208"/>
      <c r="LBG300" s="208"/>
      <c r="LBH300" s="208"/>
      <c r="LBI300" s="208"/>
      <c r="LBJ300" s="208"/>
      <c r="LBK300" s="208"/>
      <c r="LBL300" s="208"/>
      <c r="LBM300" s="208"/>
      <c r="LBN300" s="208"/>
      <c r="LBO300" s="208"/>
      <c r="LBP300" s="208"/>
      <c r="LBQ300" s="208"/>
      <c r="LBR300" s="208"/>
      <c r="LBS300" s="208"/>
      <c r="LBT300" s="208"/>
      <c r="LBU300" s="208"/>
      <c r="LBV300" s="208"/>
      <c r="LBW300" s="208"/>
      <c r="LBX300" s="208"/>
      <c r="LBY300" s="208"/>
      <c r="LBZ300" s="208"/>
      <c r="LCA300" s="208"/>
      <c r="LCB300" s="208"/>
      <c r="LCC300" s="208"/>
      <c r="LCD300" s="208"/>
      <c r="LCE300" s="208"/>
      <c r="LCF300" s="208"/>
      <c r="LCG300" s="208"/>
      <c r="LCH300" s="208"/>
      <c r="LCI300" s="208"/>
      <c r="LCJ300" s="208"/>
      <c r="LCK300" s="208"/>
      <c r="LCL300" s="208"/>
      <c r="LCM300" s="208"/>
      <c r="LCN300" s="208"/>
      <c r="LCO300" s="208"/>
      <c r="LCP300" s="208"/>
      <c r="LCQ300" s="208"/>
      <c r="LCR300" s="208"/>
      <c r="LCS300" s="208"/>
      <c r="LCT300" s="208"/>
      <c r="LCU300" s="208"/>
      <c r="LCV300" s="208"/>
      <c r="LCW300" s="208"/>
      <c r="LCX300" s="208"/>
      <c r="LCY300" s="208"/>
      <c r="LCZ300" s="208"/>
      <c r="LDA300" s="208"/>
      <c r="LDB300" s="208"/>
      <c r="LDC300" s="208"/>
      <c r="LDD300" s="208"/>
      <c r="LDE300" s="208"/>
      <c r="LDF300" s="208"/>
      <c r="LDG300" s="208"/>
      <c r="LDH300" s="208"/>
      <c r="LDI300" s="208"/>
      <c r="LDJ300" s="208"/>
      <c r="LDK300" s="208"/>
      <c r="LDL300" s="208"/>
      <c r="LDM300" s="208"/>
      <c r="LDN300" s="208"/>
      <c r="LDO300" s="208"/>
      <c r="LDP300" s="208"/>
      <c r="LDQ300" s="208"/>
      <c r="LDR300" s="208"/>
      <c r="LDS300" s="208"/>
      <c r="LDT300" s="208"/>
      <c r="LDU300" s="208"/>
      <c r="LDV300" s="208"/>
      <c r="LDW300" s="208"/>
      <c r="LDX300" s="208"/>
      <c r="LDY300" s="208"/>
      <c r="LDZ300" s="208"/>
      <c r="LEA300" s="208"/>
      <c r="LEB300" s="208"/>
      <c r="LEC300" s="208"/>
      <c r="LED300" s="208"/>
      <c r="LEE300" s="208"/>
      <c r="LEF300" s="208"/>
      <c r="LEG300" s="208"/>
      <c r="LEH300" s="208"/>
      <c r="LEI300" s="208"/>
      <c r="LEJ300" s="208"/>
      <c r="LEK300" s="208"/>
      <c r="LEL300" s="208"/>
      <c r="LEM300" s="208"/>
      <c r="LEN300" s="208"/>
      <c r="LEO300" s="208"/>
      <c r="LEP300" s="208"/>
      <c r="LEQ300" s="208"/>
      <c r="LER300" s="208"/>
      <c r="LES300" s="208"/>
      <c r="LET300" s="208"/>
      <c r="LEU300" s="208"/>
      <c r="LEV300" s="208"/>
      <c r="LEW300" s="208"/>
      <c r="LEX300" s="208"/>
      <c r="LEY300" s="208"/>
      <c r="LEZ300" s="208"/>
      <c r="LFA300" s="208"/>
      <c r="LFB300" s="208"/>
      <c r="LFC300" s="208"/>
      <c r="LFD300" s="208"/>
      <c r="LFE300" s="208"/>
      <c r="LFF300" s="208"/>
      <c r="LFG300" s="208"/>
      <c r="LFH300" s="208"/>
      <c r="LFI300" s="208"/>
      <c r="LFJ300" s="208"/>
      <c r="LFK300" s="208"/>
      <c r="LFL300" s="208"/>
      <c r="LFM300" s="208"/>
      <c r="LFN300" s="208"/>
      <c r="LFO300" s="208"/>
      <c r="LFP300" s="208"/>
      <c r="LFQ300" s="208"/>
      <c r="LFR300" s="208"/>
      <c r="LFS300" s="208"/>
      <c r="LFT300" s="208"/>
      <c r="LFU300" s="208"/>
      <c r="LFV300" s="208"/>
      <c r="LFW300" s="208"/>
      <c r="LFX300" s="208"/>
      <c r="LFY300" s="208"/>
      <c r="LFZ300" s="208"/>
      <c r="LGA300" s="208"/>
      <c r="LGB300" s="208"/>
      <c r="LGC300" s="208"/>
      <c r="LGD300" s="208"/>
      <c r="LGE300" s="208"/>
      <c r="LGF300" s="208"/>
      <c r="LGG300" s="208"/>
      <c r="LGH300" s="208"/>
      <c r="LGI300" s="208"/>
      <c r="LGJ300" s="208"/>
      <c r="LGK300" s="208"/>
      <c r="LGL300" s="208"/>
      <c r="LGM300" s="208"/>
      <c r="LGN300" s="208"/>
      <c r="LGO300" s="208"/>
      <c r="LGP300" s="208"/>
      <c r="LGQ300" s="208"/>
      <c r="LGR300" s="208"/>
      <c r="LGS300" s="208"/>
      <c r="LGT300" s="208"/>
      <c r="LGU300" s="208"/>
      <c r="LGV300" s="208"/>
      <c r="LGW300" s="208"/>
      <c r="LGX300" s="208"/>
      <c r="LGY300" s="208"/>
      <c r="LGZ300" s="208"/>
      <c r="LHA300" s="208"/>
      <c r="LHB300" s="208"/>
      <c r="LHC300" s="208"/>
      <c r="LHD300" s="208"/>
      <c r="LHE300" s="208"/>
      <c r="LHF300" s="208"/>
      <c r="LHG300" s="208"/>
      <c r="LHH300" s="208"/>
      <c r="LHI300" s="208"/>
      <c r="LHJ300" s="208"/>
      <c r="LHK300" s="208"/>
      <c r="LHL300" s="208"/>
      <c r="LHM300" s="208"/>
      <c r="LHN300" s="208"/>
      <c r="LHO300" s="208"/>
      <c r="LHP300" s="208"/>
      <c r="LHQ300" s="208"/>
      <c r="LHR300" s="208"/>
      <c r="LHS300" s="208"/>
      <c r="LHT300" s="208"/>
      <c r="LHU300" s="208"/>
      <c r="LHV300" s="208"/>
      <c r="LHW300" s="208"/>
      <c r="LHX300" s="208"/>
      <c r="LHY300" s="208"/>
      <c r="LHZ300" s="208"/>
      <c r="LIA300" s="208"/>
      <c r="LIB300" s="208"/>
      <c r="LIC300" s="208"/>
      <c r="LID300" s="208"/>
      <c r="LIE300" s="208"/>
      <c r="LIF300" s="208"/>
      <c r="LIG300" s="208"/>
      <c r="LIH300" s="208"/>
      <c r="LII300" s="208"/>
      <c r="LIJ300" s="208"/>
      <c r="LIK300" s="208"/>
      <c r="LIL300" s="208"/>
      <c r="LIM300" s="208"/>
      <c r="LIN300" s="208"/>
      <c r="LIO300" s="208"/>
      <c r="LIP300" s="208"/>
      <c r="LIQ300" s="208"/>
      <c r="LIR300" s="208"/>
      <c r="LIS300" s="208"/>
      <c r="LIT300" s="208"/>
      <c r="LIU300" s="208"/>
      <c r="LIV300" s="208"/>
      <c r="LIW300" s="208"/>
      <c r="LIX300" s="208"/>
      <c r="LIY300" s="208"/>
      <c r="LIZ300" s="208"/>
      <c r="LJA300" s="208"/>
      <c r="LJB300" s="208"/>
      <c r="LJC300" s="208"/>
      <c r="LJD300" s="208"/>
      <c r="LJE300" s="208"/>
      <c r="LJF300" s="208"/>
      <c r="LJG300" s="208"/>
      <c r="LJH300" s="208"/>
      <c r="LJI300" s="208"/>
      <c r="LJJ300" s="208"/>
      <c r="LJK300" s="208"/>
      <c r="LJL300" s="208"/>
      <c r="LJM300" s="208"/>
      <c r="LJN300" s="208"/>
      <c r="LJO300" s="208"/>
      <c r="LJP300" s="208"/>
      <c r="LJQ300" s="208"/>
      <c r="LJR300" s="208"/>
      <c r="LJS300" s="208"/>
      <c r="LJT300" s="208"/>
      <c r="LJU300" s="208"/>
      <c r="LJV300" s="208"/>
      <c r="LJW300" s="208"/>
      <c r="LJX300" s="208"/>
      <c r="LJY300" s="208"/>
      <c r="LJZ300" s="208"/>
      <c r="LKA300" s="208"/>
      <c r="LKB300" s="208"/>
      <c r="LKC300" s="208"/>
      <c r="LKD300" s="208"/>
      <c r="LKE300" s="208"/>
      <c r="LKF300" s="208"/>
      <c r="LKG300" s="208"/>
      <c r="LKH300" s="208"/>
      <c r="LKI300" s="208"/>
      <c r="LKJ300" s="208"/>
      <c r="LKK300" s="208"/>
      <c r="LKL300" s="208"/>
      <c r="LKM300" s="208"/>
      <c r="LKN300" s="208"/>
      <c r="LKO300" s="208"/>
      <c r="LKP300" s="208"/>
      <c r="LKQ300" s="208"/>
      <c r="LKR300" s="208"/>
      <c r="LKS300" s="208"/>
      <c r="LKT300" s="208"/>
      <c r="LKU300" s="208"/>
      <c r="LKV300" s="208"/>
      <c r="LKW300" s="208"/>
      <c r="LKX300" s="208"/>
      <c r="LKY300" s="208"/>
      <c r="LKZ300" s="208"/>
      <c r="LLA300" s="208"/>
      <c r="LLB300" s="208"/>
      <c r="LLC300" s="208"/>
      <c r="LLD300" s="208"/>
      <c r="LLE300" s="208"/>
      <c r="LLF300" s="208"/>
      <c r="LLG300" s="208"/>
      <c r="LLH300" s="208"/>
      <c r="LLI300" s="208"/>
      <c r="LLJ300" s="208"/>
      <c r="LLK300" s="208"/>
      <c r="LLL300" s="208"/>
      <c r="LLM300" s="208"/>
      <c r="LLN300" s="208"/>
      <c r="LLO300" s="208"/>
      <c r="LLP300" s="208"/>
      <c r="LLQ300" s="208"/>
      <c r="LLR300" s="208"/>
      <c r="LLS300" s="208"/>
      <c r="LLT300" s="208"/>
      <c r="LLU300" s="208"/>
      <c r="LLV300" s="208"/>
      <c r="LLW300" s="208"/>
      <c r="LLX300" s="208"/>
      <c r="LLY300" s="208"/>
      <c r="LLZ300" s="208"/>
      <c r="LMA300" s="208"/>
      <c r="LMB300" s="208"/>
      <c r="LMC300" s="208"/>
      <c r="LMD300" s="208"/>
      <c r="LME300" s="208"/>
      <c r="LMF300" s="208"/>
      <c r="LMG300" s="208"/>
      <c r="LMH300" s="208"/>
      <c r="LMI300" s="208"/>
      <c r="LMJ300" s="208"/>
      <c r="LMK300" s="208"/>
      <c r="LML300" s="208"/>
      <c r="LMM300" s="208"/>
      <c r="LMN300" s="208"/>
      <c r="LMO300" s="208"/>
      <c r="LMP300" s="208"/>
      <c r="LMQ300" s="208"/>
      <c r="LMR300" s="208"/>
      <c r="LMS300" s="208"/>
      <c r="LMT300" s="208"/>
      <c r="LMU300" s="208"/>
      <c r="LMV300" s="208"/>
      <c r="LMW300" s="208"/>
      <c r="LMX300" s="208"/>
      <c r="LMY300" s="208"/>
      <c r="LMZ300" s="208"/>
      <c r="LNA300" s="208"/>
      <c r="LNB300" s="208"/>
      <c r="LNC300" s="208"/>
      <c r="LND300" s="208"/>
      <c r="LNE300" s="208"/>
      <c r="LNF300" s="208"/>
      <c r="LNG300" s="208"/>
      <c r="LNH300" s="208"/>
      <c r="LNI300" s="208"/>
      <c r="LNJ300" s="208"/>
      <c r="LNK300" s="208"/>
      <c r="LNL300" s="208"/>
      <c r="LNM300" s="208"/>
      <c r="LNN300" s="208"/>
      <c r="LNO300" s="208"/>
      <c r="LNP300" s="208"/>
      <c r="LNQ300" s="208"/>
      <c r="LNR300" s="208"/>
      <c r="LNS300" s="208"/>
      <c r="LNT300" s="208"/>
      <c r="LNU300" s="208"/>
      <c r="LNV300" s="208"/>
      <c r="LNW300" s="208"/>
      <c r="LNX300" s="208"/>
      <c r="LNY300" s="208"/>
      <c r="LNZ300" s="208"/>
      <c r="LOA300" s="208"/>
      <c r="LOB300" s="208"/>
      <c r="LOC300" s="208"/>
      <c r="LOD300" s="208"/>
      <c r="LOE300" s="208"/>
      <c r="LOF300" s="208"/>
      <c r="LOG300" s="208"/>
      <c r="LOH300" s="208"/>
      <c r="LOI300" s="208"/>
      <c r="LOJ300" s="208"/>
      <c r="LOK300" s="208"/>
      <c r="LOL300" s="208"/>
      <c r="LOM300" s="208"/>
      <c r="LON300" s="208"/>
      <c r="LOO300" s="208"/>
      <c r="LOP300" s="208"/>
      <c r="LOQ300" s="208"/>
      <c r="LOR300" s="208"/>
      <c r="LOS300" s="208"/>
      <c r="LOT300" s="208"/>
      <c r="LOU300" s="208"/>
      <c r="LOV300" s="208"/>
      <c r="LOW300" s="208"/>
      <c r="LOX300" s="208"/>
      <c r="LOY300" s="208"/>
      <c r="LOZ300" s="208"/>
      <c r="LPA300" s="208"/>
      <c r="LPB300" s="208"/>
      <c r="LPC300" s="208"/>
      <c r="LPD300" s="208"/>
      <c r="LPE300" s="208"/>
      <c r="LPF300" s="208"/>
      <c r="LPG300" s="208"/>
      <c r="LPH300" s="208"/>
      <c r="LPI300" s="208"/>
      <c r="LPJ300" s="208"/>
      <c r="LPK300" s="208"/>
      <c r="LPL300" s="208"/>
      <c r="LPM300" s="208"/>
      <c r="LPN300" s="208"/>
      <c r="LPO300" s="208"/>
      <c r="LPP300" s="208"/>
      <c r="LPQ300" s="208"/>
      <c r="LPR300" s="208"/>
      <c r="LPS300" s="208"/>
      <c r="LPT300" s="208"/>
      <c r="LPU300" s="208"/>
      <c r="LPV300" s="208"/>
      <c r="LPW300" s="208"/>
      <c r="LPX300" s="208"/>
      <c r="LPY300" s="208"/>
      <c r="LPZ300" s="208"/>
      <c r="LQA300" s="208"/>
      <c r="LQB300" s="208"/>
      <c r="LQC300" s="208"/>
      <c r="LQD300" s="208"/>
      <c r="LQE300" s="208"/>
      <c r="LQF300" s="208"/>
      <c r="LQG300" s="208"/>
      <c r="LQH300" s="208"/>
      <c r="LQI300" s="208"/>
      <c r="LQJ300" s="208"/>
      <c r="LQK300" s="208"/>
      <c r="LQL300" s="208"/>
      <c r="LQM300" s="208"/>
      <c r="LQN300" s="208"/>
      <c r="LQO300" s="208"/>
      <c r="LQP300" s="208"/>
      <c r="LQQ300" s="208"/>
      <c r="LQR300" s="208"/>
      <c r="LQS300" s="208"/>
      <c r="LQT300" s="208"/>
      <c r="LQU300" s="208"/>
      <c r="LQV300" s="208"/>
      <c r="LQW300" s="208"/>
      <c r="LQX300" s="208"/>
      <c r="LQY300" s="208"/>
      <c r="LQZ300" s="208"/>
      <c r="LRA300" s="208"/>
      <c r="LRB300" s="208"/>
      <c r="LRC300" s="208"/>
      <c r="LRD300" s="208"/>
      <c r="LRE300" s="208"/>
      <c r="LRF300" s="208"/>
      <c r="LRG300" s="208"/>
      <c r="LRH300" s="208"/>
      <c r="LRI300" s="208"/>
      <c r="LRJ300" s="208"/>
      <c r="LRK300" s="208"/>
      <c r="LRL300" s="208"/>
      <c r="LRM300" s="208"/>
      <c r="LRN300" s="208"/>
      <c r="LRO300" s="208"/>
      <c r="LRP300" s="208"/>
      <c r="LRQ300" s="208"/>
      <c r="LRR300" s="208"/>
      <c r="LRS300" s="208"/>
      <c r="LRT300" s="208"/>
      <c r="LRU300" s="208"/>
      <c r="LRV300" s="208"/>
      <c r="LRW300" s="208"/>
      <c r="LRX300" s="208"/>
      <c r="LRY300" s="208"/>
      <c r="LRZ300" s="208"/>
      <c r="LSA300" s="208"/>
      <c r="LSB300" s="208"/>
      <c r="LSC300" s="208"/>
      <c r="LSD300" s="208"/>
      <c r="LSE300" s="208"/>
      <c r="LSF300" s="208"/>
      <c r="LSG300" s="208"/>
      <c r="LSH300" s="208"/>
      <c r="LSI300" s="208"/>
      <c r="LSJ300" s="208"/>
      <c r="LSK300" s="208"/>
      <c r="LSL300" s="208"/>
      <c r="LSM300" s="208"/>
      <c r="LSN300" s="208"/>
      <c r="LSO300" s="208"/>
      <c r="LSP300" s="208"/>
      <c r="LSQ300" s="208"/>
      <c r="LSR300" s="208"/>
      <c r="LSS300" s="208"/>
      <c r="LST300" s="208"/>
      <c r="LSU300" s="208"/>
      <c r="LSV300" s="208"/>
      <c r="LSW300" s="208"/>
      <c r="LSX300" s="208"/>
      <c r="LSY300" s="208"/>
      <c r="LSZ300" s="208"/>
      <c r="LTA300" s="208"/>
      <c r="LTB300" s="208"/>
      <c r="LTC300" s="208"/>
      <c r="LTD300" s="208"/>
      <c r="LTE300" s="208"/>
      <c r="LTF300" s="208"/>
      <c r="LTG300" s="208"/>
      <c r="LTH300" s="208"/>
      <c r="LTI300" s="208"/>
      <c r="LTJ300" s="208"/>
      <c r="LTK300" s="208"/>
      <c r="LTL300" s="208"/>
      <c r="LTM300" s="208"/>
      <c r="LTN300" s="208"/>
      <c r="LTO300" s="208"/>
      <c r="LTP300" s="208"/>
      <c r="LTQ300" s="208"/>
      <c r="LTR300" s="208"/>
      <c r="LTS300" s="208"/>
      <c r="LTT300" s="208"/>
      <c r="LTU300" s="208"/>
      <c r="LTV300" s="208"/>
      <c r="LTW300" s="208"/>
      <c r="LTX300" s="208"/>
      <c r="LTY300" s="208"/>
      <c r="LTZ300" s="208"/>
      <c r="LUA300" s="208"/>
      <c r="LUB300" s="208"/>
      <c r="LUC300" s="208"/>
      <c r="LUD300" s="208"/>
      <c r="LUE300" s="208"/>
      <c r="LUF300" s="208"/>
      <c r="LUG300" s="208"/>
      <c r="LUH300" s="208"/>
      <c r="LUI300" s="208"/>
      <c r="LUJ300" s="208"/>
      <c r="LUK300" s="208"/>
      <c r="LUL300" s="208"/>
      <c r="LUM300" s="208"/>
      <c r="LUN300" s="208"/>
      <c r="LUO300" s="208"/>
      <c r="LUP300" s="208"/>
      <c r="LUQ300" s="208"/>
      <c r="LUR300" s="208"/>
      <c r="LUS300" s="208"/>
      <c r="LUT300" s="208"/>
      <c r="LUU300" s="208"/>
      <c r="LUV300" s="208"/>
      <c r="LUW300" s="208"/>
      <c r="LUX300" s="208"/>
      <c r="LUY300" s="208"/>
      <c r="LUZ300" s="208"/>
      <c r="LVA300" s="208"/>
      <c r="LVB300" s="208"/>
      <c r="LVC300" s="208"/>
      <c r="LVD300" s="208"/>
      <c r="LVE300" s="208"/>
      <c r="LVF300" s="208"/>
      <c r="LVG300" s="208"/>
      <c r="LVH300" s="208"/>
      <c r="LVI300" s="208"/>
      <c r="LVJ300" s="208"/>
      <c r="LVK300" s="208"/>
      <c r="LVL300" s="208"/>
      <c r="LVM300" s="208"/>
      <c r="LVN300" s="208"/>
      <c r="LVO300" s="208"/>
      <c r="LVP300" s="208"/>
      <c r="LVQ300" s="208"/>
      <c r="LVR300" s="208"/>
      <c r="LVS300" s="208"/>
      <c r="LVT300" s="208"/>
      <c r="LVU300" s="208"/>
      <c r="LVV300" s="208"/>
      <c r="LVW300" s="208"/>
      <c r="LVX300" s="208"/>
      <c r="LVY300" s="208"/>
      <c r="LVZ300" s="208"/>
      <c r="LWA300" s="208"/>
      <c r="LWB300" s="208"/>
      <c r="LWC300" s="208"/>
      <c r="LWD300" s="208"/>
      <c r="LWE300" s="208"/>
      <c r="LWF300" s="208"/>
      <c r="LWG300" s="208"/>
      <c r="LWH300" s="208"/>
      <c r="LWI300" s="208"/>
      <c r="LWJ300" s="208"/>
      <c r="LWK300" s="208"/>
      <c r="LWL300" s="208"/>
      <c r="LWM300" s="208"/>
      <c r="LWN300" s="208"/>
      <c r="LWO300" s="208"/>
      <c r="LWP300" s="208"/>
      <c r="LWQ300" s="208"/>
      <c r="LWR300" s="208"/>
      <c r="LWS300" s="208"/>
      <c r="LWT300" s="208"/>
      <c r="LWU300" s="208"/>
      <c r="LWV300" s="208"/>
      <c r="LWW300" s="208"/>
      <c r="LWX300" s="208"/>
      <c r="LWY300" s="208"/>
      <c r="LWZ300" s="208"/>
      <c r="LXA300" s="208"/>
      <c r="LXB300" s="208"/>
      <c r="LXC300" s="208"/>
      <c r="LXD300" s="208"/>
      <c r="LXE300" s="208"/>
      <c r="LXF300" s="208"/>
      <c r="LXG300" s="208"/>
      <c r="LXH300" s="208"/>
      <c r="LXI300" s="208"/>
      <c r="LXJ300" s="208"/>
      <c r="LXK300" s="208"/>
      <c r="LXL300" s="208"/>
      <c r="LXM300" s="208"/>
      <c r="LXN300" s="208"/>
      <c r="LXO300" s="208"/>
      <c r="LXP300" s="208"/>
      <c r="LXQ300" s="208"/>
      <c r="LXR300" s="208"/>
      <c r="LXS300" s="208"/>
      <c r="LXT300" s="208"/>
      <c r="LXU300" s="208"/>
      <c r="LXV300" s="208"/>
      <c r="LXW300" s="208"/>
      <c r="LXX300" s="208"/>
      <c r="LXY300" s="208"/>
      <c r="LXZ300" s="208"/>
      <c r="LYA300" s="208"/>
      <c r="LYB300" s="208"/>
      <c r="LYC300" s="208"/>
      <c r="LYD300" s="208"/>
      <c r="LYE300" s="208"/>
      <c r="LYF300" s="208"/>
      <c r="LYG300" s="208"/>
      <c r="LYH300" s="208"/>
      <c r="LYI300" s="208"/>
      <c r="LYJ300" s="208"/>
      <c r="LYK300" s="208"/>
      <c r="LYL300" s="208"/>
      <c r="LYM300" s="208"/>
      <c r="LYN300" s="208"/>
      <c r="LYO300" s="208"/>
      <c r="LYP300" s="208"/>
      <c r="LYQ300" s="208"/>
      <c r="LYR300" s="208"/>
      <c r="LYS300" s="208"/>
      <c r="LYT300" s="208"/>
      <c r="LYU300" s="208"/>
      <c r="LYV300" s="208"/>
      <c r="LYW300" s="208"/>
      <c r="LYX300" s="208"/>
      <c r="LYY300" s="208"/>
      <c r="LYZ300" s="208"/>
      <c r="LZA300" s="208"/>
      <c r="LZB300" s="208"/>
      <c r="LZC300" s="208"/>
      <c r="LZD300" s="208"/>
      <c r="LZE300" s="208"/>
      <c r="LZF300" s="208"/>
      <c r="LZG300" s="208"/>
      <c r="LZH300" s="208"/>
      <c r="LZI300" s="208"/>
      <c r="LZJ300" s="208"/>
      <c r="LZK300" s="208"/>
      <c r="LZL300" s="208"/>
      <c r="LZM300" s="208"/>
      <c r="LZN300" s="208"/>
      <c r="LZO300" s="208"/>
      <c r="LZP300" s="208"/>
      <c r="LZQ300" s="208"/>
      <c r="LZR300" s="208"/>
      <c r="LZS300" s="208"/>
      <c r="LZT300" s="208"/>
      <c r="LZU300" s="208"/>
      <c r="LZV300" s="208"/>
      <c r="LZW300" s="208"/>
      <c r="LZX300" s="208"/>
      <c r="LZY300" s="208"/>
      <c r="LZZ300" s="208"/>
      <c r="MAA300" s="208"/>
      <c r="MAB300" s="208"/>
      <c r="MAC300" s="208"/>
      <c r="MAD300" s="208"/>
      <c r="MAE300" s="208"/>
      <c r="MAF300" s="208"/>
      <c r="MAG300" s="208"/>
      <c r="MAH300" s="208"/>
      <c r="MAI300" s="208"/>
      <c r="MAJ300" s="208"/>
      <c r="MAK300" s="208"/>
      <c r="MAL300" s="208"/>
      <c r="MAM300" s="208"/>
      <c r="MAN300" s="208"/>
      <c r="MAO300" s="208"/>
      <c r="MAP300" s="208"/>
      <c r="MAQ300" s="208"/>
      <c r="MAR300" s="208"/>
      <c r="MAS300" s="208"/>
      <c r="MAT300" s="208"/>
      <c r="MAU300" s="208"/>
      <c r="MAV300" s="208"/>
      <c r="MAW300" s="208"/>
      <c r="MAX300" s="208"/>
      <c r="MAY300" s="208"/>
      <c r="MAZ300" s="208"/>
      <c r="MBA300" s="208"/>
      <c r="MBB300" s="208"/>
      <c r="MBC300" s="208"/>
      <c r="MBD300" s="208"/>
      <c r="MBE300" s="208"/>
      <c r="MBF300" s="208"/>
      <c r="MBG300" s="208"/>
      <c r="MBH300" s="208"/>
      <c r="MBI300" s="208"/>
      <c r="MBJ300" s="208"/>
      <c r="MBK300" s="208"/>
      <c r="MBL300" s="208"/>
      <c r="MBM300" s="208"/>
      <c r="MBN300" s="208"/>
      <c r="MBO300" s="208"/>
      <c r="MBP300" s="208"/>
      <c r="MBQ300" s="208"/>
      <c r="MBR300" s="208"/>
      <c r="MBS300" s="208"/>
      <c r="MBT300" s="208"/>
      <c r="MBU300" s="208"/>
      <c r="MBV300" s="208"/>
      <c r="MBW300" s="208"/>
      <c r="MBX300" s="208"/>
      <c r="MBY300" s="208"/>
      <c r="MBZ300" s="208"/>
      <c r="MCA300" s="208"/>
      <c r="MCB300" s="208"/>
      <c r="MCC300" s="208"/>
      <c r="MCD300" s="208"/>
      <c r="MCE300" s="208"/>
      <c r="MCF300" s="208"/>
      <c r="MCG300" s="208"/>
      <c r="MCH300" s="208"/>
      <c r="MCI300" s="208"/>
      <c r="MCJ300" s="208"/>
      <c r="MCK300" s="208"/>
      <c r="MCL300" s="208"/>
      <c r="MCM300" s="208"/>
      <c r="MCN300" s="208"/>
      <c r="MCO300" s="208"/>
      <c r="MCP300" s="208"/>
      <c r="MCQ300" s="208"/>
      <c r="MCR300" s="208"/>
      <c r="MCS300" s="208"/>
      <c r="MCT300" s="208"/>
      <c r="MCU300" s="208"/>
      <c r="MCV300" s="208"/>
      <c r="MCW300" s="208"/>
      <c r="MCX300" s="208"/>
      <c r="MCY300" s="208"/>
      <c r="MCZ300" s="208"/>
      <c r="MDA300" s="208"/>
      <c r="MDB300" s="208"/>
      <c r="MDC300" s="208"/>
      <c r="MDD300" s="208"/>
      <c r="MDE300" s="208"/>
      <c r="MDF300" s="208"/>
      <c r="MDG300" s="208"/>
      <c r="MDH300" s="208"/>
      <c r="MDI300" s="208"/>
      <c r="MDJ300" s="208"/>
      <c r="MDK300" s="208"/>
      <c r="MDL300" s="208"/>
      <c r="MDM300" s="208"/>
      <c r="MDN300" s="208"/>
      <c r="MDO300" s="208"/>
      <c r="MDP300" s="208"/>
      <c r="MDQ300" s="208"/>
      <c r="MDR300" s="208"/>
      <c r="MDS300" s="208"/>
      <c r="MDT300" s="208"/>
      <c r="MDU300" s="208"/>
      <c r="MDV300" s="208"/>
      <c r="MDW300" s="208"/>
      <c r="MDX300" s="208"/>
      <c r="MDY300" s="208"/>
      <c r="MDZ300" s="208"/>
      <c r="MEA300" s="208"/>
      <c r="MEB300" s="208"/>
      <c r="MEC300" s="208"/>
      <c r="MED300" s="208"/>
      <c r="MEE300" s="208"/>
      <c r="MEF300" s="208"/>
      <c r="MEG300" s="208"/>
      <c r="MEH300" s="208"/>
      <c r="MEI300" s="208"/>
      <c r="MEJ300" s="208"/>
      <c r="MEK300" s="208"/>
      <c r="MEL300" s="208"/>
      <c r="MEM300" s="208"/>
      <c r="MEN300" s="208"/>
      <c r="MEO300" s="208"/>
      <c r="MEP300" s="208"/>
      <c r="MEQ300" s="208"/>
      <c r="MER300" s="208"/>
      <c r="MES300" s="208"/>
      <c r="MET300" s="208"/>
      <c r="MEU300" s="208"/>
      <c r="MEV300" s="208"/>
      <c r="MEW300" s="208"/>
      <c r="MEX300" s="208"/>
      <c r="MEY300" s="208"/>
      <c r="MEZ300" s="208"/>
      <c r="MFA300" s="208"/>
      <c r="MFB300" s="208"/>
      <c r="MFC300" s="208"/>
      <c r="MFD300" s="208"/>
      <c r="MFE300" s="208"/>
      <c r="MFF300" s="208"/>
      <c r="MFG300" s="208"/>
      <c r="MFH300" s="208"/>
      <c r="MFI300" s="208"/>
      <c r="MFJ300" s="208"/>
      <c r="MFK300" s="208"/>
      <c r="MFL300" s="208"/>
      <c r="MFM300" s="208"/>
      <c r="MFN300" s="208"/>
      <c r="MFO300" s="208"/>
      <c r="MFP300" s="208"/>
      <c r="MFQ300" s="208"/>
      <c r="MFR300" s="208"/>
      <c r="MFS300" s="208"/>
      <c r="MFT300" s="208"/>
      <c r="MFU300" s="208"/>
      <c r="MFV300" s="208"/>
      <c r="MFW300" s="208"/>
      <c r="MFX300" s="208"/>
      <c r="MFY300" s="208"/>
      <c r="MFZ300" s="208"/>
      <c r="MGA300" s="208"/>
      <c r="MGB300" s="208"/>
      <c r="MGC300" s="208"/>
      <c r="MGD300" s="208"/>
      <c r="MGE300" s="208"/>
      <c r="MGF300" s="208"/>
      <c r="MGG300" s="208"/>
      <c r="MGH300" s="208"/>
      <c r="MGI300" s="208"/>
      <c r="MGJ300" s="208"/>
      <c r="MGK300" s="208"/>
      <c r="MGL300" s="208"/>
      <c r="MGM300" s="208"/>
      <c r="MGN300" s="208"/>
      <c r="MGO300" s="208"/>
      <c r="MGP300" s="208"/>
      <c r="MGQ300" s="208"/>
      <c r="MGR300" s="208"/>
      <c r="MGS300" s="208"/>
      <c r="MGT300" s="208"/>
      <c r="MGU300" s="208"/>
      <c r="MGV300" s="208"/>
      <c r="MGW300" s="208"/>
      <c r="MGX300" s="208"/>
      <c r="MGY300" s="208"/>
      <c r="MGZ300" s="208"/>
      <c r="MHA300" s="208"/>
      <c r="MHB300" s="208"/>
      <c r="MHC300" s="208"/>
      <c r="MHD300" s="208"/>
      <c r="MHE300" s="208"/>
      <c r="MHF300" s="208"/>
      <c r="MHG300" s="208"/>
      <c r="MHH300" s="208"/>
      <c r="MHI300" s="208"/>
      <c r="MHJ300" s="208"/>
      <c r="MHK300" s="208"/>
      <c r="MHL300" s="208"/>
      <c r="MHM300" s="208"/>
      <c r="MHN300" s="208"/>
      <c r="MHO300" s="208"/>
      <c r="MHP300" s="208"/>
      <c r="MHQ300" s="208"/>
      <c r="MHR300" s="208"/>
      <c r="MHS300" s="208"/>
      <c r="MHT300" s="208"/>
      <c r="MHU300" s="208"/>
      <c r="MHV300" s="208"/>
      <c r="MHW300" s="208"/>
      <c r="MHX300" s="208"/>
      <c r="MHY300" s="208"/>
      <c r="MHZ300" s="208"/>
      <c r="MIA300" s="208"/>
      <c r="MIB300" s="208"/>
      <c r="MIC300" s="208"/>
      <c r="MID300" s="208"/>
      <c r="MIE300" s="208"/>
      <c r="MIF300" s="208"/>
      <c r="MIG300" s="208"/>
      <c r="MIH300" s="208"/>
      <c r="MII300" s="208"/>
      <c r="MIJ300" s="208"/>
      <c r="MIK300" s="208"/>
      <c r="MIL300" s="208"/>
      <c r="MIM300" s="208"/>
      <c r="MIN300" s="208"/>
      <c r="MIO300" s="208"/>
      <c r="MIP300" s="208"/>
      <c r="MIQ300" s="208"/>
      <c r="MIR300" s="208"/>
      <c r="MIS300" s="208"/>
      <c r="MIT300" s="208"/>
      <c r="MIU300" s="208"/>
      <c r="MIV300" s="208"/>
      <c r="MIW300" s="208"/>
      <c r="MIX300" s="208"/>
      <c r="MIY300" s="208"/>
      <c r="MIZ300" s="208"/>
      <c r="MJA300" s="208"/>
      <c r="MJB300" s="208"/>
      <c r="MJC300" s="208"/>
      <c r="MJD300" s="208"/>
      <c r="MJE300" s="208"/>
      <c r="MJF300" s="208"/>
      <c r="MJG300" s="208"/>
      <c r="MJH300" s="208"/>
      <c r="MJI300" s="208"/>
      <c r="MJJ300" s="208"/>
      <c r="MJK300" s="208"/>
      <c r="MJL300" s="208"/>
      <c r="MJM300" s="208"/>
      <c r="MJN300" s="208"/>
      <c r="MJO300" s="208"/>
      <c r="MJP300" s="208"/>
      <c r="MJQ300" s="208"/>
      <c r="MJR300" s="208"/>
      <c r="MJS300" s="208"/>
      <c r="MJT300" s="208"/>
      <c r="MJU300" s="208"/>
      <c r="MJV300" s="208"/>
      <c r="MJW300" s="208"/>
      <c r="MJX300" s="208"/>
      <c r="MJY300" s="208"/>
      <c r="MJZ300" s="208"/>
      <c r="MKA300" s="208"/>
      <c r="MKB300" s="208"/>
      <c r="MKC300" s="208"/>
      <c r="MKD300" s="208"/>
      <c r="MKE300" s="208"/>
      <c r="MKF300" s="208"/>
      <c r="MKG300" s="208"/>
      <c r="MKH300" s="208"/>
      <c r="MKI300" s="208"/>
      <c r="MKJ300" s="208"/>
      <c r="MKK300" s="208"/>
      <c r="MKL300" s="208"/>
      <c r="MKM300" s="208"/>
      <c r="MKN300" s="208"/>
      <c r="MKO300" s="208"/>
      <c r="MKP300" s="208"/>
      <c r="MKQ300" s="208"/>
      <c r="MKR300" s="208"/>
      <c r="MKS300" s="208"/>
      <c r="MKT300" s="208"/>
      <c r="MKU300" s="208"/>
      <c r="MKV300" s="208"/>
      <c r="MKW300" s="208"/>
      <c r="MKX300" s="208"/>
      <c r="MKY300" s="208"/>
      <c r="MKZ300" s="208"/>
      <c r="MLA300" s="208"/>
      <c r="MLB300" s="208"/>
      <c r="MLC300" s="208"/>
      <c r="MLD300" s="208"/>
      <c r="MLE300" s="208"/>
      <c r="MLF300" s="208"/>
      <c r="MLG300" s="208"/>
      <c r="MLH300" s="208"/>
      <c r="MLI300" s="208"/>
      <c r="MLJ300" s="208"/>
      <c r="MLK300" s="208"/>
      <c r="MLL300" s="208"/>
      <c r="MLM300" s="208"/>
      <c r="MLN300" s="208"/>
      <c r="MLO300" s="208"/>
      <c r="MLP300" s="208"/>
      <c r="MLQ300" s="208"/>
      <c r="MLR300" s="208"/>
      <c r="MLS300" s="208"/>
      <c r="MLT300" s="208"/>
      <c r="MLU300" s="208"/>
      <c r="MLV300" s="208"/>
      <c r="MLW300" s="208"/>
      <c r="MLX300" s="208"/>
      <c r="MLY300" s="208"/>
      <c r="MLZ300" s="208"/>
      <c r="MMA300" s="208"/>
      <c r="MMB300" s="208"/>
      <c r="MMC300" s="208"/>
      <c r="MMD300" s="208"/>
      <c r="MME300" s="208"/>
      <c r="MMF300" s="208"/>
      <c r="MMG300" s="208"/>
      <c r="MMH300" s="208"/>
      <c r="MMI300" s="208"/>
      <c r="MMJ300" s="208"/>
      <c r="MMK300" s="208"/>
      <c r="MML300" s="208"/>
      <c r="MMM300" s="208"/>
      <c r="MMN300" s="208"/>
      <c r="MMO300" s="208"/>
      <c r="MMP300" s="208"/>
      <c r="MMQ300" s="208"/>
      <c r="MMR300" s="208"/>
      <c r="MMS300" s="208"/>
      <c r="MMT300" s="208"/>
      <c r="MMU300" s="208"/>
      <c r="MMV300" s="208"/>
      <c r="MMW300" s="208"/>
      <c r="MMX300" s="208"/>
      <c r="MMY300" s="208"/>
      <c r="MMZ300" s="208"/>
      <c r="MNA300" s="208"/>
      <c r="MNB300" s="208"/>
      <c r="MNC300" s="208"/>
      <c r="MND300" s="208"/>
      <c r="MNE300" s="208"/>
      <c r="MNF300" s="208"/>
      <c r="MNG300" s="208"/>
      <c r="MNH300" s="208"/>
      <c r="MNI300" s="208"/>
      <c r="MNJ300" s="208"/>
      <c r="MNK300" s="208"/>
      <c r="MNL300" s="208"/>
      <c r="MNM300" s="208"/>
      <c r="MNN300" s="208"/>
      <c r="MNO300" s="208"/>
      <c r="MNP300" s="208"/>
      <c r="MNQ300" s="208"/>
      <c r="MNR300" s="208"/>
      <c r="MNS300" s="208"/>
      <c r="MNT300" s="208"/>
      <c r="MNU300" s="208"/>
      <c r="MNV300" s="208"/>
      <c r="MNW300" s="208"/>
      <c r="MNX300" s="208"/>
      <c r="MNY300" s="208"/>
      <c r="MNZ300" s="208"/>
      <c r="MOA300" s="208"/>
      <c r="MOB300" s="208"/>
      <c r="MOC300" s="208"/>
      <c r="MOD300" s="208"/>
      <c r="MOE300" s="208"/>
      <c r="MOF300" s="208"/>
      <c r="MOG300" s="208"/>
      <c r="MOH300" s="208"/>
      <c r="MOI300" s="208"/>
      <c r="MOJ300" s="208"/>
      <c r="MOK300" s="208"/>
      <c r="MOL300" s="208"/>
      <c r="MOM300" s="208"/>
      <c r="MON300" s="208"/>
      <c r="MOO300" s="208"/>
      <c r="MOP300" s="208"/>
      <c r="MOQ300" s="208"/>
      <c r="MOR300" s="208"/>
      <c r="MOS300" s="208"/>
      <c r="MOT300" s="208"/>
      <c r="MOU300" s="208"/>
      <c r="MOV300" s="208"/>
      <c r="MOW300" s="208"/>
      <c r="MOX300" s="208"/>
      <c r="MOY300" s="208"/>
      <c r="MOZ300" s="208"/>
      <c r="MPA300" s="208"/>
      <c r="MPB300" s="208"/>
      <c r="MPC300" s="208"/>
      <c r="MPD300" s="208"/>
      <c r="MPE300" s="208"/>
      <c r="MPF300" s="208"/>
      <c r="MPG300" s="208"/>
      <c r="MPH300" s="208"/>
      <c r="MPI300" s="208"/>
      <c r="MPJ300" s="208"/>
      <c r="MPK300" s="208"/>
      <c r="MPL300" s="208"/>
      <c r="MPM300" s="208"/>
      <c r="MPN300" s="208"/>
      <c r="MPO300" s="208"/>
      <c r="MPP300" s="208"/>
      <c r="MPQ300" s="208"/>
      <c r="MPR300" s="208"/>
      <c r="MPS300" s="208"/>
      <c r="MPT300" s="208"/>
      <c r="MPU300" s="208"/>
      <c r="MPV300" s="208"/>
      <c r="MPW300" s="208"/>
      <c r="MPX300" s="208"/>
      <c r="MPY300" s="208"/>
      <c r="MPZ300" s="208"/>
      <c r="MQA300" s="208"/>
      <c r="MQB300" s="208"/>
      <c r="MQC300" s="208"/>
      <c r="MQD300" s="208"/>
      <c r="MQE300" s="208"/>
      <c r="MQF300" s="208"/>
      <c r="MQG300" s="208"/>
      <c r="MQH300" s="208"/>
      <c r="MQI300" s="208"/>
      <c r="MQJ300" s="208"/>
      <c r="MQK300" s="208"/>
      <c r="MQL300" s="208"/>
      <c r="MQM300" s="208"/>
      <c r="MQN300" s="208"/>
      <c r="MQO300" s="208"/>
      <c r="MQP300" s="208"/>
      <c r="MQQ300" s="208"/>
      <c r="MQR300" s="208"/>
      <c r="MQS300" s="208"/>
      <c r="MQT300" s="208"/>
      <c r="MQU300" s="208"/>
      <c r="MQV300" s="208"/>
      <c r="MQW300" s="208"/>
      <c r="MQX300" s="208"/>
      <c r="MQY300" s="208"/>
      <c r="MQZ300" s="208"/>
      <c r="MRA300" s="208"/>
      <c r="MRB300" s="208"/>
      <c r="MRC300" s="208"/>
      <c r="MRD300" s="208"/>
      <c r="MRE300" s="208"/>
      <c r="MRF300" s="208"/>
      <c r="MRG300" s="208"/>
      <c r="MRH300" s="208"/>
      <c r="MRI300" s="208"/>
      <c r="MRJ300" s="208"/>
      <c r="MRK300" s="208"/>
      <c r="MRL300" s="208"/>
      <c r="MRM300" s="208"/>
      <c r="MRN300" s="208"/>
      <c r="MRO300" s="208"/>
      <c r="MRP300" s="208"/>
      <c r="MRQ300" s="208"/>
      <c r="MRR300" s="208"/>
      <c r="MRS300" s="208"/>
      <c r="MRT300" s="208"/>
      <c r="MRU300" s="208"/>
      <c r="MRV300" s="208"/>
      <c r="MRW300" s="208"/>
      <c r="MRX300" s="208"/>
      <c r="MRY300" s="208"/>
      <c r="MRZ300" s="208"/>
      <c r="MSA300" s="208"/>
      <c r="MSB300" s="208"/>
      <c r="MSC300" s="208"/>
      <c r="MSD300" s="208"/>
      <c r="MSE300" s="208"/>
      <c r="MSF300" s="208"/>
      <c r="MSG300" s="208"/>
      <c r="MSH300" s="208"/>
      <c r="MSI300" s="208"/>
      <c r="MSJ300" s="208"/>
      <c r="MSK300" s="208"/>
      <c r="MSL300" s="208"/>
      <c r="MSM300" s="208"/>
      <c r="MSN300" s="208"/>
      <c r="MSO300" s="208"/>
      <c r="MSP300" s="208"/>
      <c r="MSQ300" s="208"/>
      <c r="MSR300" s="208"/>
      <c r="MSS300" s="208"/>
      <c r="MST300" s="208"/>
      <c r="MSU300" s="208"/>
      <c r="MSV300" s="208"/>
      <c r="MSW300" s="208"/>
      <c r="MSX300" s="208"/>
      <c r="MSY300" s="208"/>
      <c r="MSZ300" s="208"/>
      <c r="MTA300" s="208"/>
      <c r="MTB300" s="208"/>
      <c r="MTC300" s="208"/>
      <c r="MTD300" s="208"/>
      <c r="MTE300" s="208"/>
      <c r="MTF300" s="208"/>
      <c r="MTG300" s="208"/>
      <c r="MTH300" s="208"/>
      <c r="MTI300" s="208"/>
      <c r="MTJ300" s="208"/>
      <c r="MTK300" s="208"/>
      <c r="MTL300" s="208"/>
      <c r="MTM300" s="208"/>
      <c r="MTN300" s="208"/>
      <c r="MTO300" s="208"/>
      <c r="MTP300" s="208"/>
      <c r="MTQ300" s="208"/>
      <c r="MTR300" s="208"/>
      <c r="MTS300" s="208"/>
      <c r="MTT300" s="208"/>
      <c r="MTU300" s="208"/>
      <c r="MTV300" s="208"/>
      <c r="MTW300" s="208"/>
      <c r="MTX300" s="208"/>
      <c r="MTY300" s="208"/>
      <c r="MTZ300" s="208"/>
      <c r="MUA300" s="208"/>
      <c r="MUB300" s="208"/>
      <c r="MUC300" s="208"/>
      <c r="MUD300" s="208"/>
      <c r="MUE300" s="208"/>
      <c r="MUF300" s="208"/>
      <c r="MUG300" s="208"/>
      <c r="MUH300" s="208"/>
      <c r="MUI300" s="208"/>
      <c r="MUJ300" s="208"/>
      <c r="MUK300" s="208"/>
      <c r="MUL300" s="208"/>
      <c r="MUM300" s="208"/>
      <c r="MUN300" s="208"/>
      <c r="MUO300" s="208"/>
      <c r="MUP300" s="208"/>
      <c r="MUQ300" s="208"/>
      <c r="MUR300" s="208"/>
      <c r="MUS300" s="208"/>
      <c r="MUT300" s="208"/>
      <c r="MUU300" s="208"/>
      <c r="MUV300" s="208"/>
      <c r="MUW300" s="208"/>
      <c r="MUX300" s="208"/>
      <c r="MUY300" s="208"/>
      <c r="MUZ300" s="208"/>
      <c r="MVA300" s="208"/>
      <c r="MVB300" s="208"/>
      <c r="MVC300" s="208"/>
      <c r="MVD300" s="208"/>
      <c r="MVE300" s="208"/>
      <c r="MVF300" s="208"/>
      <c r="MVG300" s="208"/>
      <c r="MVH300" s="208"/>
      <c r="MVI300" s="208"/>
      <c r="MVJ300" s="208"/>
      <c r="MVK300" s="208"/>
      <c r="MVL300" s="208"/>
      <c r="MVM300" s="208"/>
      <c r="MVN300" s="208"/>
      <c r="MVO300" s="208"/>
      <c r="MVP300" s="208"/>
      <c r="MVQ300" s="208"/>
      <c r="MVR300" s="208"/>
      <c r="MVS300" s="208"/>
      <c r="MVT300" s="208"/>
      <c r="MVU300" s="208"/>
      <c r="MVV300" s="208"/>
      <c r="MVW300" s="208"/>
      <c r="MVX300" s="208"/>
      <c r="MVY300" s="208"/>
      <c r="MVZ300" s="208"/>
      <c r="MWA300" s="208"/>
      <c r="MWB300" s="208"/>
      <c r="MWC300" s="208"/>
      <c r="MWD300" s="208"/>
      <c r="MWE300" s="208"/>
      <c r="MWF300" s="208"/>
      <c r="MWG300" s="208"/>
      <c r="MWH300" s="208"/>
      <c r="MWI300" s="208"/>
      <c r="MWJ300" s="208"/>
      <c r="MWK300" s="208"/>
      <c r="MWL300" s="208"/>
      <c r="MWM300" s="208"/>
      <c r="MWN300" s="208"/>
      <c r="MWO300" s="208"/>
      <c r="MWP300" s="208"/>
      <c r="MWQ300" s="208"/>
      <c r="MWR300" s="208"/>
      <c r="MWS300" s="208"/>
      <c r="MWT300" s="208"/>
      <c r="MWU300" s="208"/>
      <c r="MWV300" s="208"/>
      <c r="MWW300" s="208"/>
      <c r="MWX300" s="208"/>
      <c r="MWY300" s="208"/>
      <c r="MWZ300" s="208"/>
      <c r="MXA300" s="208"/>
      <c r="MXB300" s="208"/>
      <c r="MXC300" s="208"/>
      <c r="MXD300" s="208"/>
      <c r="MXE300" s="208"/>
      <c r="MXF300" s="208"/>
      <c r="MXG300" s="208"/>
      <c r="MXH300" s="208"/>
      <c r="MXI300" s="208"/>
      <c r="MXJ300" s="208"/>
      <c r="MXK300" s="208"/>
      <c r="MXL300" s="208"/>
      <c r="MXM300" s="208"/>
      <c r="MXN300" s="208"/>
      <c r="MXO300" s="208"/>
      <c r="MXP300" s="208"/>
      <c r="MXQ300" s="208"/>
      <c r="MXR300" s="208"/>
      <c r="MXS300" s="208"/>
      <c r="MXT300" s="208"/>
      <c r="MXU300" s="208"/>
      <c r="MXV300" s="208"/>
      <c r="MXW300" s="208"/>
      <c r="MXX300" s="208"/>
      <c r="MXY300" s="208"/>
      <c r="MXZ300" s="208"/>
      <c r="MYA300" s="208"/>
      <c r="MYB300" s="208"/>
      <c r="MYC300" s="208"/>
      <c r="MYD300" s="208"/>
      <c r="MYE300" s="208"/>
      <c r="MYF300" s="208"/>
      <c r="MYG300" s="208"/>
      <c r="MYH300" s="208"/>
      <c r="MYI300" s="208"/>
      <c r="MYJ300" s="208"/>
      <c r="MYK300" s="208"/>
      <c r="MYL300" s="208"/>
      <c r="MYM300" s="208"/>
      <c r="MYN300" s="208"/>
      <c r="MYO300" s="208"/>
      <c r="MYP300" s="208"/>
      <c r="MYQ300" s="208"/>
      <c r="MYR300" s="208"/>
      <c r="MYS300" s="208"/>
      <c r="MYT300" s="208"/>
      <c r="MYU300" s="208"/>
      <c r="MYV300" s="208"/>
      <c r="MYW300" s="208"/>
      <c r="MYX300" s="208"/>
      <c r="MYY300" s="208"/>
      <c r="MYZ300" s="208"/>
      <c r="MZA300" s="208"/>
      <c r="MZB300" s="208"/>
      <c r="MZC300" s="208"/>
      <c r="MZD300" s="208"/>
      <c r="MZE300" s="208"/>
      <c r="MZF300" s="208"/>
      <c r="MZG300" s="208"/>
      <c r="MZH300" s="208"/>
      <c r="MZI300" s="208"/>
      <c r="MZJ300" s="208"/>
      <c r="MZK300" s="208"/>
      <c r="MZL300" s="208"/>
      <c r="MZM300" s="208"/>
      <c r="MZN300" s="208"/>
      <c r="MZO300" s="208"/>
      <c r="MZP300" s="208"/>
      <c r="MZQ300" s="208"/>
      <c r="MZR300" s="208"/>
      <c r="MZS300" s="208"/>
      <c r="MZT300" s="208"/>
      <c r="MZU300" s="208"/>
      <c r="MZV300" s="208"/>
      <c r="MZW300" s="208"/>
      <c r="MZX300" s="208"/>
      <c r="MZY300" s="208"/>
      <c r="MZZ300" s="208"/>
      <c r="NAA300" s="208"/>
      <c r="NAB300" s="208"/>
      <c r="NAC300" s="208"/>
      <c r="NAD300" s="208"/>
      <c r="NAE300" s="208"/>
      <c r="NAF300" s="208"/>
      <c r="NAG300" s="208"/>
      <c r="NAH300" s="208"/>
      <c r="NAI300" s="208"/>
      <c r="NAJ300" s="208"/>
      <c r="NAK300" s="208"/>
      <c r="NAL300" s="208"/>
      <c r="NAM300" s="208"/>
      <c r="NAN300" s="208"/>
      <c r="NAO300" s="208"/>
      <c r="NAP300" s="208"/>
      <c r="NAQ300" s="208"/>
      <c r="NAR300" s="208"/>
      <c r="NAS300" s="208"/>
      <c r="NAT300" s="208"/>
      <c r="NAU300" s="208"/>
      <c r="NAV300" s="208"/>
      <c r="NAW300" s="208"/>
      <c r="NAX300" s="208"/>
      <c r="NAY300" s="208"/>
      <c r="NAZ300" s="208"/>
      <c r="NBA300" s="208"/>
      <c r="NBB300" s="208"/>
      <c r="NBC300" s="208"/>
      <c r="NBD300" s="208"/>
      <c r="NBE300" s="208"/>
      <c r="NBF300" s="208"/>
      <c r="NBG300" s="208"/>
      <c r="NBH300" s="208"/>
      <c r="NBI300" s="208"/>
      <c r="NBJ300" s="208"/>
      <c r="NBK300" s="208"/>
      <c r="NBL300" s="208"/>
      <c r="NBM300" s="208"/>
      <c r="NBN300" s="208"/>
      <c r="NBO300" s="208"/>
      <c r="NBP300" s="208"/>
      <c r="NBQ300" s="208"/>
      <c r="NBR300" s="208"/>
      <c r="NBS300" s="208"/>
      <c r="NBT300" s="208"/>
      <c r="NBU300" s="208"/>
      <c r="NBV300" s="208"/>
      <c r="NBW300" s="208"/>
      <c r="NBX300" s="208"/>
      <c r="NBY300" s="208"/>
      <c r="NBZ300" s="208"/>
      <c r="NCA300" s="208"/>
      <c r="NCB300" s="208"/>
      <c r="NCC300" s="208"/>
      <c r="NCD300" s="208"/>
      <c r="NCE300" s="208"/>
      <c r="NCF300" s="208"/>
      <c r="NCG300" s="208"/>
      <c r="NCH300" s="208"/>
      <c r="NCI300" s="208"/>
      <c r="NCJ300" s="208"/>
      <c r="NCK300" s="208"/>
      <c r="NCL300" s="208"/>
      <c r="NCM300" s="208"/>
      <c r="NCN300" s="208"/>
      <c r="NCO300" s="208"/>
      <c r="NCP300" s="208"/>
      <c r="NCQ300" s="208"/>
      <c r="NCR300" s="208"/>
      <c r="NCS300" s="208"/>
      <c r="NCT300" s="208"/>
      <c r="NCU300" s="208"/>
      <c r="NCV300" s="208"/>
      <c r="NCW300" s="208"/>
      <c r="NCX300" s="208"/>
      <c r="NCY300" s="208"/>
      <c r="NCZ300" s="208"/>
      <c r="NDA300" s="208"/>
      <c r="NDB300" s="208"/>
      <c r="NDC300" s="208"/>
      <c r="NDD300" s="208"/>
      <c r="NDE300" s="208"/>
      <c r="NDF300" s="208"/>
      <c r="NDG300" s="208"/>
      <c r="NDH300" s="208"/>
      <c r="NDI300" s="208"/>
      <c r="NDJ300" s="208"/>
      <c r="NDK300" s="208"/>
      <c r="NDL300" s="208"/>
      <c r="NDM300" s="208"/>
      <c r="NDN300" s="208"/>
      <c r="NDO300" s="208"/>
      <c r="NDP300" s="208"/>
      <c r="NDQ300" s="208"/>
      <c r="NDR300" s="208"/>
      <c r="NDS300" s="208"/>
      <c r="NDT300" s="208"/>
      <c r="NDU300" s="208"/>
      <c r="NDV300" s="208"/>
      <c r="NDW300" s="208"/>
      <c r="NDX300" s="208"/>
      <c r="NDY300" s="208"/>
      <c r="NDZ300" s="208"/>
      <c r="NEA300" s="208"/>
      <c r="NEB300" s="208"/>
      <c r="NEC300" s="208"/>
      <c r="NED300" s="208"/>
      <c r="NEE300" s="208"/>
      <c r="NEF300" s="208"/>
      <c r="NEG300" s="208"/>
      <c r="NEH300" s="208"/>
      <c r="NEI300" s="208"/>
      <c r="NEJ300" s="208"/>
      <c r="NEK300" s="208"/>
      <c r="NEL300" s="208"/>
      <c r="NEM300" s="208"/>
      <c r="NEN300" s="208"/>
      <c r="NEO300" s="208"/>
      <c r="NEP300" s="208"/>
      <c r="NEQ300" s="208"/>
      <c r="NER300" s="208"/>
      <c r="NES300" s="208"/>
      <c r="NET300" s="208"/>
      <c r="NEU300" s="208"/>
      <c r="NEV300" s="208"/>
      <c r="NEW300" s="208"/>
      <c r="NEX300" s="208"/>
      <c r="NEY300" s="208"/>
      <c r="NEZ300" s="208"/>
      <c r="NFA300" s="208"/>
      <c r="NFB300" s="208"/>
      <c r="NFC300" s="208"/>
      <c r="NFD300" s="208"/>
      <c r="NFE300" s="208"/>
      <c r="NFF300" s="208"/>
      <c r="NFG300" s="208"/>
      <c r="NFH300" s="208"/>
      <c r="NFI300" s="208"/>
      <c r="NFJ300" s="208"/>
      <c r="NFK300" s="208"/>
      <c r="NFL300" s="208"/>
      <c r="NFM300" s="208"/>
      <c r="NFN300" s="208"/>
      <c r="NFO300" s="208"/>
      <c r="NFP300" s="208"/>
      <c r="NFQ300" s="208"/>
      <c r="NFR300" s="208"/>
      <c r="NFS300" s="208"/>
      <c r="NFT300" s="208"/>
      <c r="NFU300" s="208"/>
      <c r="NFV300" s="208"/>
      <c r="NFW300" s="208"/>
      <c r="NFX300" s="208"/>
      <c r="NFY300" s="208"/>
      <c r="NFZ300" s="208"/>
      <c r="NGA300" s="208"/>
      <c r="NGB300" s="208"/>
      <c r="NGC300" s="208"/>
      <c r="NGD300" s="208"/>
      <c r="NGE300" s="208"/>
      <c r="NGF300" s="208"/>
      <c r="NGG300" s="208"/>
      <c r="NGH300" s="208"/>
      <c r="NGI300" s="208"/>
      <c r="NGJ300" s="208"/>
      <c r="NGK300" s="208"/>
      <c r="NGL300" s="208"/>
      <c r="NGM300" s="208"/>
      <c r="NGN300" s="208"/>
      <c r="NGO300" s="208"/>
      <c r="NGP300" s="208"/>
      <c r="NGQ300" s="208"/>
      <c r="NGR300" s="208"/>
      <c r="NGS300" s="208"/>
      <c r="NGT300" s="208"/>
      <c r="NGU300" s="208"/>
      <c r="NGV300" s="208"/>
      <c r="NGW300" s="208"/>
      <c r="NGX300" s="208"/>
      <c r="NGY300" s="208"/>
      <c r="NGZ300" s="208"/>
      <c r="NHA300" s="208"/>
      <c r="NHB300" s="208"/>
      <c r="NHC300" s="208"/>
      <c r="NHD300" s="208"/>
      <c r="NHE300" s="208"/>
      <c r="NHF300" s="208"/>
      <c r="NHG300" s="208"/>
      <c r="NHH300" s="208"/>
      <c r="NHI300" s="208"/>
      <c r="NHJ300" s="208"/>
      <c r="NHK300" s="208"/>
      <c r="NHL300" s="208"/>
      <c r="NHM300" s="208"/>
      <c r="NHN300" s="208"/>
      <c r="NHO300" s="208"/>
      <c r="NHP300" s="208"/>
      <c r="NHQ300" s="208"/>
      <c r="NHR300" s="208"/>
      <c r="NHS300" s="208"/>
      <c r="NHT300" s="208"/>
      <c r="NHU300" s="208"/>
      <c r="NHV300" s="208"/>
      <c r="NHW300" s="208"/>
      <c r="NHX300" s="208"/>
      <c r="NHY300" s="208"/>
      <c r="NHZ300" s="208"/>
      <c r="NIA300" s="208"/>
      <c r="NIB300" s="208"/>
      <c r="NIC300" s="208"/>
      <c r="NID300" s="208"/>
      <c r="NIE300" s="208"/>
      <c r="NIF300" s="208"/>
      <c r="NIG300" s="208"/>
      <c r="NIH300" s="208"/>
      <c r="NII300" s="208"/>
      <c r="NIJ300" s="208"/>
      <c r="NIK300" s="208"/>
      <c r="NIL300" s="208"/>
      <c r="NIM300" s="208"/>
      <c r="NIN300" s="208"/>
      <c r="NIO300" s="208"/>
      <c r="NIP300" s="208"/>
      <c r="NIQ300" s="208"/>
      <c r="NIR300" s="208"/>
      <c r="NIS300" s="208"/>
      <c r="NIT300" s="208"/>
      <c r="NIU300" s="208"/>
      <c r="NIV300" s="208"/>
      <c r="NIW300" s="208"/>
      <c r="NIX300" s="208"/>
      <c r="NIY300" s="208"/>
      <c r="NIZ300" s="208"/>
      <c r="NJA300" s="208"/>
      <c r="NJB300" s="208"/>
      <c r="NJC300" s="208"/>
      <c r="NJD300" s="208"/>
      <c r="NJE300" s="208"/>
      <c r="NJF300" s="208"/>
      <c r="NJG300" s="208"/>
      <c r="NJH300" s="208"/>
      <c r="NJI300" s="208"/>
      <c r="NJJ300" s="208"/>
      <c r="NJK300" s="208"/>
      <c r="NJL300" s="208"/>
      <c r="NJM300" s="208"/>
      <c r="NJN300" s="208"/>
      <c r="NJO300" s="208"/>
      <c r="NJP300" s="208"/>
      <c r="NJQ300" s="208"/>
      <c r="NJR300" s="208"/>
      <c r="NJS300" s="208"/>
      <c r="NJT300" s="208"/>
      <c r="NJU300" s="208"/>
      <c r="NJV300" s="208"/>
      <c r="NJW300" s="208"/>
      <c r="NJX300" s="208"/>
      <c r="NJY300" s="208"/>
      <c r="NJZ300" s="208"/>
      <c r="NKA300" s="208"/>
      <c r="NKB300" s="208"/>
      <c r="NKC300" s="208"/>
      <c r="NKD300" s="208"/>
      <c r="NKE300" s="208"/>
      <c r="NKF300" s="208"/>
      <c r="NKG300" s="208"/>
      <c r="NKH300" s="208"/>
      <c r="NKI300" s="208"/>
      <c r="NKJ300" s="208"/>
      <c r="NKK300" s="208"/>
      <c r="NKL300" s="208"/>
      <c r="NKM300" s="208"/>
      <c r="NKN300" s="208"/>
      <c r="NKO300" s="208"/>
      <c r="NKP300" s="208"/>
      <c r="NKQ300" s="208"/>
      <c r="NKR300" s="208"/>
      <c r="NKS300" s="208"/>
      <c r="NKT300" s="208"/>
      <c r="NKU300" s="208"/>
      <c r="NKV300" s="208"/>
      <c r="NKW300" s="208"/>
      <c r="NKX300" s="208"/>
      <c r="NKY300" s="208"/>
      <c r="NKZ300" s="208"/>
      <c r="NLA300" s="208"/>
      <c r="NLB300" s="208"/>
      <c r="NLC300" s="208"/>
      <c r="NLD300" s="208"/>
      <c r="NLE300" s="208"/>
      <c r="NLF300" s="208"/>
      <c r="NLG300" s="208"/>
      <c r="NLH300" s="208"/>
      <c r="NLI300" s="208"/>
      <c r="NLJ300" s="208"/>
      <c r="NLK300" s="208"/>
      <c r="NLL300" s="208"/>
      <c r="NLM300" s="208"/>
      <c r="NLN300" s="208"/>
      <c r="NLO300" s="208"/>
      <c r="NLP300" s="208"/>
      <c r="NLQ300" s="208"/>
      <c r="NLR300" s="208"/>
      <c r="NLS300" s="208"/>
      <c r="NLT300" s="208"/>
      <c r="NLU300" s="208"/>
      <c r="NLV300" s="208"/>
      <c r="NLW300" s="208"/>
      <c r="NLX300" s="208"/>
      <c r="NLY300" s="208"/>
      <c r="NLZ300" s="208"/>
      <c r="NMA300" s="208"/>
      <c r="NMB300" s="208"/>
      <c r="NMC300" s="208"/>
      <c r="NMD300" s="208"/>
      <c r="NME300" s="208"/>
      <c r="NMF300" s="208"/>
      <c r="NMG300" s="208"/>
      <c r="NMH300" s="208"/>
      <c r="NMI300" s="208"/>
      <c r="NMJ300" s="208"/>
      <c r="NMK300" s="208"/>
      <c r="NML300" s="208"/>
      <c r="NMM300" s="208"/>
      <c r="NMN300" s="208"/>
      <c r="NMO300" s="208"/>
      <c r="NMP300" s="208"/>
      <c r="NMQ300" s="208"/>
      <c r="NMR300" s="208"/>
      <c r="NMS300" s="208"/>
      <c r="NMT300" s="208"/>
      <c r="NMU300" s="208"/>
      <c r="NMV300" s="208"/>
      <c r="NMW300" s="208"/>
      <c r="NMX300" s="208"/>
      <c r="NMY300" s="208"/>
      <c r="NMZ300" s="208"/>
      <c r="NNA300" s="208"/>
      <c r="NNB300" s="208"/>
      <c r="NNC300" s="208"/>
      <c r="NND300" s="208"/>
      <c r="NNE300" s="208"/>
      <c r="NNF300" s="208"/>
      <c r="NNG300" s="208"/>
      <c r="NNH300" s="208"/>
      <c r="NNI300" s="208"/>
      <c r="NNJ300" s="208"/>
      <c r="NNK300" s="208"/>
      <c r="NNL300" s="208"/>
      <c r="NNM300" s="208"/>
      <c r="NNN300" s="208"/>
      <c r="NNO300" s="208"/>
      <c r="NNP300" s="208"/>
      <c r="NNQ300" s="208"/>
      <c r="NNR300" s="208"/>
      <c r="NNS300" s="208"/>
      <c r="NNT300" s="208"/>
      <c r="NNU300" s="208"/>
      <c r="NNV300" s="208"/>
      <c r="NNW300" s="208"/>
      <c r="NNX300" s="208"/>
      <c r="NNY300" s="208"/>
      <c r="NNZ300" s="208"/>
      <c r="NOA300" s="208"/>
      <c r="NOB300" s="208"/>
      <c r="NOC300" s="208"/>
      <c r="NOD300" s="208"/>
      <c r="NOE300" s="208"/>
      <c r="NOF300" s="208"/>
      <c r="NOG300" s="208"/>
      <c r="NOH300" s="208"/>
      <c r="NOI300" s="208"/>
      <c r="NOJ300" s="208"/>
      <c r="NOK300" s="208"/>
      <c r="NOL300" s="208"/>
      <c r="NOM300" s="208"/>
      <c r="NON300" s="208"/>
      <c r="NOO300" s="208"/>
      <c r="NOP300" s="208"/>
      <c r="NOQ300" s="208"/>
      <c r="NOR300" s="208"/>
      <c r="NOS300" s="208"/>
      <c r="NOT300" s="208"/>
      <c r="NOU300" s="208"/>
      <c r="NOV300" s="208"/>
      <c r="NOW300" s="208"/>
      <c r="NOX300" s="208"/>
      <c r="NOY300" s="208"/>
      <c r="NOZ300" s="208"/>
      <c r="NPA300" s="208"/>
      <c r="NPB300" s="208"/>
      <c r="NPC300" s="208"/>
      <c r="NPD300" s="208"/>
      <c r="NPE300" s="208"/>
      <c r="NPF300" s="208"/>
      <c r="NPG300" s="208"/>
      <c r="NPH300" s="208"/>
      <c r="NPI300" s="208"/>
      <c r="NPJ300" s="208"/>
      <c r="NPK300" s="208"/>
      <c r="NPL300" s="208"/>
      <c r="NPM300" s="208"/>
      <c r="NPN300" s="208"/>
      <c r="NPO300" s="208"/>
      <c r="NPP300" s="208"/>
      <c r="NPQ300" s="208"/>
      <c r="NPR300" s="208"/>
      <c r="NPS300" s="208"/>
      <c r="NPT300" s="208"/>
      <c r="NPU300" s="208"/>
      <c r="NPV300" s="208"/>
      <c r="NPW300" s="208"/>
      <c r="NPX300" s="208"/>
      <c r="NPY300" s="208"/>
      <c r="NPZ300" s="208"/>
      <c r="NQA300" s="208"/>
      <c r="NQB300" s="208"/>
      <c r="NQC300" s="208"/>
      <c r="NQD300" s="208"/>
      <c r="NQE300" s="208"/>
      <c r="NQF300" s="208"/>
      <c r="NQG300" s="208"/>
      <c r="NQH300" s="208"/>
      <c r="NQI300" s="208"/>
      <c r="NQJ300" s="208"/>
      <c r="NQK300" s="208"/>
      <c r="NQL300" s="208"/>
      <c r="NQM300" s="208"/>
      <c r="NQN300" s="208"/>
      <c r="NQO300" s="208"/>
      <c r="NQP300" s="208"/>
      <c r="NQQ300" s="208"/>
      <c r="NQR300" s="208"/>
      <c r="NQS300" s="208"/>
      <c r="NQT300" s="208"/>
      <c r="NQU300" s="208"/>
      <c r="NQV300" s="208"/>
      <c r="NQW300" s="208"/>
      <c r="NQX300" s="208"/>
      <c r="NQY300" s="208"/>
      <c r="NQZ300" s="208"/>
      <c r="NRA300" s="208"/>
      <c r="NRB300" s="208"/>
      <c r="NRC300" s="208"/>
      <c r="NRD300" s="208"/>
      <c r="NRE300" s="208"/>
      <c r="NRF300" s="208"/>
      <c r="NRG300" s="208"/>
      <c r="NRH300" s="208"/>
      <c r="NRI300" s="208"/>
      <c r="NRJ300" s="208"/>
      <c r="NRK300" s="208"/>
      <c r="NRL300" s="208"/>
      <c r="NRM300" s="208"/>
      <c r="NRN300" s="208"/>
      <c r="NRO300" s="208"/>
      <c r="NRP300" s="208"/>
      <c r="NRQ300" s="208"/>
      <c r="NRR300" s="208"/>
      <c r="NRS300" s="208"/>
      <c r="NRT300" s="208"/>
      <c r="NRU300" s="208"/>
      <c r="NRV300" s="208"/>
      <c r="NRW300" s="208"/>
      <c r="NRX300" s="208"/>
      <c r="NRY300" s="208"/>
      <c r="NRZ300" s="208"/>
      <c r="NSA300" s="208"/>
      <c r="NSB300" s="208"/>
      <c r="NSC300" s="208"/>
      <c r="NSD300" s="208"/>
      <c r="NSE300" s="208"/>
      <c r="NSF300" s="208"/>
      <c r="NSG300" s="208"/>
      <c r="NSH300" s="208"/>
      <c r="NSI300" s="208"/>
      <c r="NSJ300" s="208"/>
      <c r="NSK300" s="208"/>
      <c r="NSL300" s="208"/>
      <c r="NSM300" s="208"/>
      <c r="NSN300" s="208"/>
      <c r="NSO300" s="208"/>
      <c r="NSP300" s="208"/>
      <c r="NSQ300" s="208"/>
      <c r="NSR300" s="208"/>
      <c r="NSS300" s="208"/>
      <c r="NST300" s="208"/>
      <c r="NSU300" s="208"/>
      <c r="NSV300" s="208"/>
      <c r="NSW300" s="208"/>
      <c r="NSX300" s="208"/>
      <c r="NSY300" s="208"/>
      <c r="NSZ300" s="208"/>
      <c r="NTA300" s="208"/>
      <c r="NTB300" s="208"/>
      <c r="NTC300" s="208"/>
      <c r="NTD300" s="208"/>
      <c r="NTE300" s="208"/>
      <c r="NTF300" s="208"/>
      <c r="NTG300" s="208"/>
      <c r="NTH300" s="208"/>
      <c r="NTI300" s="208"/>
      <c r="NTJ300" s="208"/>
      <c r="NTK300" s="208"/>
      <c r="NTL300" s="208"/>
      <c r="NTM300" s="208"/>
      <c r="NTN300" s="208"/>
      <c r="NTO300" s="208"/>
      <c r="NTP300" s="208"/>
      <c r="NTQ300" s="208"/>
      <c r="NTR300" s="208"/>
      <c r="NTS300" s="208"/>
      <c r="NTT300" s="208"/>
      <c r="NTU300" s="208"/>
      <c r="NTV300" s="208"/>
      <c r="NTW300" s="208"/>
      <c r="NTX300" s="208"/>
      <c r="NTY300" s="208"/>
      <c r="NTZ300" s="208"/>
      <c r="NUA300" s="208"/>
      <c r="NUB300" s="208"/>
      <c r="NUC300" s="208"/>
      <c r="NUD300" s="208"/>
      <c r="NUE300" s="208"/>
      <c r="NUF300" s="208"/>
      <c r="NUG300" s="208"/>
      <c r="NUH300" s="208"/>
      <c r="NUI300" s="208"/>
      <c r="NUJ300" s="208"/>
      <c r="NUK300" s="208"/>
      <c r="NUL300" s="208"/>
      <c r="NUM300" s="208"/>
      <c r="NUN300" s="208"/>
      <c r="NUO300" s="208"/>
      <c r="NUP300" s="208"/>
      <c r="NUQ300" s="208"/>
      <c r="NUR300" s="208"/>
      <c r="NUS300" s="208"/>
      <c r="NUT300" s="208"/>
      <c r="NUU300" s="208"/>
      <c r="NUV300" s="208"/>
      <c r="NUW300" s="208"/>
      <c r="NUX300" s="208"/>
      <c r="NUY300" s="208"/>
      <c r="NUZ300" s="208"/>
      <c r="NVA300" s="208"/>
      <c r="NVB300" s="208"/>
      <c r="NVC300" s="208"/>
      <c r="NVD300" s="208"/>
      <c r="NVE300" s="208"/>
      <c r="NVF300" s="208"/>
      <c r="NVG300" s="208"/>
      <c r="NVH300" s="208"/>
      <c r="NVI300" s="208"/>
      <c r="NVJ300" s="208"/>
      <c r="NVK300" s="208"/>
      <c r="NVL300" s="208"/>
      <c r="NVM300" s="208"/>
      <c r="NVN300" s="208"/>
      <c r="NVO300" s="208"/>
      <c r="NVP300" s="208"/>
      <c r="NVQ300" s="208"/>
      <c r="NVR300" s="208"/>
      <c r="NVS300" s="208"/>
      <c r="NVT300" s="208"/>
      <c r="NVU300" s="208"/>
      <c r="NVV300" s="208"/>
      <c r="NVW300" s="208"/>
      <c r="NVX300" s="208"/>
      <c r="NVY300" s="208"/>
      <c r="NVZ300" s="208"/>
      <c r="NWA300" s="208"/>
      <c r="NWB300" s="208"/>
      <c r="NWC300" s="208"/>
      <c r="NWD300" s="208"/>
      <c r="NWE300" s="208"/>
      <c r="NWF300" s="208"/>
      <c r="NWG300" s="208"/>
      <c r="NWH300" s="208"/>
      <c r="NWI300" s="208"/>
      <c r="NWJ300" s="208"/>
      <c r="NWK300" s="208"/>
      <c r="NWL300" s="208"/>
      <c r="NWM300" s="208"/>
      <c r="NWN300" s="208"/>
      <c r="NWO300" s="208"/>
      <c r="NWP300" s="208"/>
      <c r="NWQ300" s="208"/>
      <c r="NWR300" s="208"/>
      <c r="NWS300" s="208"/>
      <c r="NWT300" s="208"/>
      <c r="NWU300" s="208"/>
      <c r="NWV300" s="208"/>
      <c r="NWW300" s="208"/>
      <c r="NWX300" s="208"/>
      <c r="NWY300" s="208"/>
      <c r="NWZ300" s="208"/>
      <c r="NXA300" s="208"/>
      <c r="NXB300" s="208"/>
      <c r="NXC300" s="208"/>
      <c r="NXD300" s="208"/>
      <c r="NXE300" s="208"/>
      <c r="NXF300" s="208"/>
      <c r="NXG300" s="208"/>
      <c r="NXH300" s="208"/>
      <c r="NXI300" s="208"/>
      <c r="NXJ300" s="208"/>
      <c r="NXK300" s="208"/>
      <c r="NXL300" s="208"/>
      <c r="NXM300" s="208"/>
      <c r="NXN300" s="208"/>
      <c r="NXO300" s="208"/>
      <c r="NXP300" s="208"/>
      <c r="NXQ300" s="208"/>
      <c r="NXR300" s="208"/>
      <c r="NXS300" s="208"/>
      <c r="NXT300" s="208"/>
      <c r="NXU300" s="208"/>
      <c r="NXV300" s="208"/>
      <c r="NXW300" s="208"/>
      <c r="NXX300" s="208"/>
      <c r="NXY300" s="208"/>
      <c r="NXZ300" s="208"/>
      <c r="NYA300" s="208"/>
      <c r="NYB300" s="208"/>
      <c r="NYC300" s="208"/>
      <c r="NYD300" s="208"/>
      <c r="NYE300" s="208"/>
      <c r="NYF300" s="208"/>
      <c r="NYG300" s="208"/>
      <c r="NYH300" s="208"/>
      <c r="NYI300" s="208"/>
      <c r="NYJ300" s="208"/>
      <c r="NYK300" s="208"/>
      <c r="NYL300" s="208"/>
      <c r="NYM300" s="208"/>
      <c r="NYN300" s="208"/>
      <c r="NYO300" s="208"/>
      <c r="NYP300" s="208"/>
      <c r="NYQ300" s="208"/>
      <c r="NYR300" s="208"/>
      <c r="NYS300" s="208"/>
      <c r="NYT300" s="208"/>
      <c r="NYU300" s="208"/>
      <c r="NYV300" s="208"/>
      <c r="NYW300" s="208"/>
      <c r="NYX300" s="208"/>
      <c r="NYY300" s="208"/>
      <c r="NYZ300" s="208"/>
      <c r="NZA300" s="208"/>
      <c r="NZB300" s="208"/>
      <c r="NZC300" s="208"/>
      <c r="NZD300" s="208"/>
      <c r="NZE300" s="208"/>
      <c r="NZF300" s="208"/>
      <c r="NZG300" s="208"/>
      <c r="NZH300" s="208"/>
      <c r="NZI300" s="208"/>
      <c r="NZJ300" s="208"/>
      <c r="NZK300" s="208"/>
      <c r="NZL300" s="208"/>
      <c r="NZM300" s="208"/>
      <c r="NZN300" s="208"/>
      <c r="NZO300" s="208"/>
      <c r="NZP300" s="208"/>
      <c r="NZQ300" s="208"/>
      <c r="NZR300" s="208"/>
      <c r="NZS300" s="208"/>
      <c r="NZT300" s="208"/>
      <c r="NZU300" s="208"/>
      <c r="NZV300" s="208"/>
      <c r="NZW300" s="208"/>
      <c r="NZX300" s="208"/>
      <c r="NZY300" s="208"/>
      <c r="NZZ300" s="208"/>
      <c r="OAA300" s="208"/>
      <c r="OAB300" s="208"/>
      <c r="OAC300" s="208"/>
      <c r="OAD300" s="208"/>
      <c r="OAE300" s="208"/>
      <c r="OAF300" s="208"/>
      <c r="OAG300" s="208"/>
      <c r="OAH300" s="208"/>
      <c r="OAI300" s="208"/>
      <c r="OAJ300" s="208"/>
      <c r="OAK300" s="208"/>
      <c r="OAL300" s="208"/>
      <c r="OAM300" s="208"/>
      <c r="OAN300" s="208"/>
      <c r="OAO300" s="208"/>
      <c r="OAP300" s="208"/>
      <c r="OAQ300" s="208"/>
      <c r="OAR300" s="208"/>
      <c r="OAS300" s="208"/>
      <c r="OAT300" s="208"/>
      <c r="OAU300" s="208"/>
      <c r="OAV300" s="208"/>
      <c r="OAW300" s="208"/>
      <c r="OAX300" s="208"/>
      <c r="OAY300" s="208"/>
      <c r="OAZ300" s="208"/>
      <c r="OBA300" s="208"/>
      <c r="OBB300" s="208"/>
      <c r="OBC300" s="208"/>
      <c r="OBD300" s="208"/>
      <c r="OBE300" s="208"/>
      <c r="OBF300" s="208"/>
      <c r="OBG300" s="208"/>
      <c r="OBH300" s="208"/>
      <c r="OBI300" s="208"/>
      <c r="OBJ300" s="208"/>
      <c r="OBK300" s="208"/>
      <c r="OBL300" s="208"/>
      <c r="OBM300" s="208"/>
      <c r="OBN300" s="208"/>
      <c r="OBO300" s="208"/>
      <c r="OBP300" s="208"/>
      <c r="OBQ300" s="208"/>
      <c r="OBR300" s="208"/>
      <c r="OBS300" s="208"/>
      <c r="OBT300" s="208"/>
      <c r="OBU300" s="208"/>
      <c r="OBV300" s="208"/>
      <c r="OBW300" s="208"/>
      <c r="OBX300" s="208"/>
      <c r="OBY300" s="208"/>
      <c r="OBZ300" s="208"/>
      <c r="OCA300" s="208"/>
      <c r="OCB300" s="208"/>
      <c r="OCC300" s="208"/>
      <c r="OCD300" s="208"/>
      <c r="OCE300" s="208"/>
      <c r="OCF300" s="208"/>
      <c r="OCG300" s="208"/>
      <c r="OCH300" s="208"/>
      <c r="OCI300" s="208"/>
      <c r="OCJ300" s="208"/>
      <c r="OCK300" s="208"/>
      <c r="OCL300" s="208"/>
      <c r="OCM300" s="208"/>
      <c r="OCN300" s="208"/>
      <c r="OCO300" s="208"/>
      <c r="OCP300" s="208"/>
      <c r="OCQ300" s="208"/>
      <c r="OCR300" s="208"/>
      <c r="OCS300" s="208"/>
      <c r="OCT300" s="208"/>
      <c r="OCU300" s="208"/>
      <c r="OCV300" s="208"/>
      <c r="OCW300" s="208"/>
      <c r="OCX300" s="208"/>
      <c r="OCY300" s="208"/>
      <c r="OCZ300" s="208"/>
      <c r="ODA300" s="208"/>
      <c r="ODB300" s="208"/>
      <c r="ODC300" s="208"/>
      <c r="ODD300" s="208"/>
      <c r="ODE300" s="208"/>
      <c r="ODF300" s="208"/>
      <c r="ODG300" s="208"/>
      <c r="ODH300" s="208"/>
      <c r="ODI300" s="208"/>
      <c r="ODJ300" s="208"/>
      <c r="ODK300" s="208"/>
      <c r="ODL300" s="208"/>
      <c r="ODM300" s="208"/>
      <c r="ODN300" s="208"/>
      <c r="ODO300" s="208"/>
      <c r="ODP300" s="208"/>
      <c r="ODQ300" s="208"/>
      <c r="ODR300" s="208"/>
      <c r="ODS300" s="208"/>
      <c r="ODT300" s="208"/>
      <c r="ODU300" s="208"/>
      <c r="ODV300" s="208"/>
      <c r="ODW300" s="208"/>
      <c r="ODX300" s="208"/>
      <c r="ODY300" s="208"/>
      <c r="ODZ300" s="208"/>
      <c r="OEA300" s="208"/>
      <c r="OEB300" s="208"/>
      <c r="OEC300" s="208"/>
      <c r="OED300" s="208"/>
      <c r="OEE300" s="208"/>
      <c r="OEF300" s="208"/>
      <c r="OEG300" s="208"/>
      <c r="OEH300" s="208"/>
      <c r="OEI300" s="208"/>
      <c r="OEJ300" s="208"/>
      <c r="OEK300" s="208"/>
      <c r="OEL300" s="208"/>
      <c r="OEM300" s="208"/>
      <c r="OEN300" s="208"/>
      <c r="OEO300" s="208"/>
      <c r="OEP300" s="208"/>
      <c r="OEQ300" s="208"/>
      <c r="OER300" s="208"/>
      <c r="OES300" s="208"/>
      <c r="OET300" s="208"/>
      <c r="OEU300" s="208"/>
      <c r="OEV300" s="208"/>
      <c r="OEW300" s="208"/>
      <c r="OEX300" s="208"/>
      <c r="OEY300" s="208"/>
      <c r="OEZ300" s="208"/>
      <c r="OFA300" s="208"/>
      <c r="OFB300" s="208"/>
      <c r="OFC300" s="208"/>
      <c r="OFD300" s="208"/>
      <c r="OFE300" s="208"/>
      <c r="OFF300" s="208"/>
      <c r="OFG300" s="208"/>
      <c r="OFH300" s="208"/>
      <c r="OFI300" s="208"/>
      <c r="OFJ300" s="208"/>
      <c r="OFK300" s="208"/>
      <c r="OFL300" s="208"/>
      <c r="OFM300" s="208"/>
      <c r="OFN300" s="208"/>
      <c r="OFO300" s="208"/>
      <c r="OFP300" s="208"/>
      <c r="OFQ300" s="208"/>
      <c r="OFR300" s="208"/>
      <c r="OFS300" s="208"/>
      <c r="OFT300" s="208"/>
      <c r="OFU300" s="208"/>
      <c r="OFV300" s="208"/>
      <c r="OFW300" s="208"/>
      <c r="OFX300" s="208"/>
      <c r="OFY300" s="208"/>
      <c r="OFZ300" s="208"/>
      <c r="OGA300" s="208"/>
      <c r="OGB300" s="208"/>
      <c r="OGC300" s="208"/>
      <c r="OGD300" s="208"/>
      <c r="OGE300" s="208"/>
      <c r="OGF300" s="208"/>
      <c r="OGG300" s="208"/>
      <c r="OGH300" s="208"/>
      <c r="OGI300" s="208"/>
      <c r="OGJ300" s="208"/>
      <c r="OGK300" s="208"/>
      <c r="OGL300" s="208"/>
      <c r="OGM300" s="208"/>
      <c r="OGN300" s="208"/>
      <c r="OGO300" s="208"/>
      <c r="OGP300" s="208"/>
      <c r="OGQ300" s="208"/>
      <c r="OGR300" s="208"/>
      <c r="OGS300" s="208"/>
      <c r="OGT300" s="208"/>
      <c r="OGU300" s="208"/>
      <c r="OGV300" s="208"/>
      <c r="OGW300" s="208"/>
      <c r="OGX300" s="208"/>
      <c r="OGY300" s="208"/>
      <c r="OGZ300" s="208"/>
      <c r="OHA300" s="208"/>
      <c r="OHB300" s="208"/>
      <c r="OHC300" s="208"/>
      <c r="OHD300" s="208"/>
      <c r="OHE300" s="208"/>
      <c r="OHF300" s="208"/>
      <c r="OHG300" s="208"/>
      <c r="OHH300" s="208"/>
      <c r="OHI300" s="208"/>
      <c r="OHJ300" s="208"/>
      <c r="OHK300" s="208"/>
      <c r="OHL300" s="208"/>
      <c r="OHM300" s="208"/>
      <c r="OHN300" s="208"/>
      <c r="OHO300" s="208"/>
      <c r="OHP300" s="208"/>
      <c r="OHQ300" s="208"/>
      <c r="OHR300" s="208"/>
      <c r="OHS300" s="208"/>
      <c r="OHT300" s="208"/>
      <c r="OHU300" s="208"/>
      <c r="OHV300" s="208"/>
      <c r="OHW300" s="208"/>
      <c r="OHX300" s="208"/>
      <c r="OHY300" s="208"/>
      <c r="OHZ300" s="208"/>
      <c r="OIA300" s="208"/>
      <c r="OIB300" s="208"/>
      <c r="OIC300" s="208"/>
      <c r="OID300" s="208"/>
      <c r="OIE300" s="208"/>
      <c r="OIF300" s="208"/>
      <c r="OIG300" s="208"/>
      <c r="OIH300" s="208"/>
      <c r="OII300" s="208"/>
      <c r="OIJ300" s="208"/>
      <c r="OIK300" s="208"/>
      <c r="OIL300" s="208"/>
      <c r="OIM300" s="208"/>
      <c r="OIN300" s="208"/>
      <c r="OIO300" s="208"/>
      <c r="OIP300" s="208"/>
      <c r="OIQ300" s="208"/>
      <c r="OIR300" s="208"/>
      <c r="OIS300" s="208"/>
      <c r="OIT300" s="208"/>
      <c r="OIU300" s="208"/>
      <c r="OIV300" s="208"/>
      <c r="OIW300" s="208"/>
      <c r="OIX300" s="208"/>
      <c r="OIY300" s="208"/>
      <c r="OIZ300" s="208"/>
      <c r="OJA300" s="208"/>
      <c r="OJB300" s="208"/>
      <c r="OJC300" s="208"/>
      <c r="OJD300" s="208"/>
      <c r="OJE300" s="208"/>
      <c r="OJF300" s="208"/>
      <c r="OJG300" s="208"/>
      <c r="OJH300" s="208"/>
      <c r="OJI300" s="208"/>
      <c r="OJJ300" s="208"/>
      <c r="OJK300" s="208"/>
      <c r="OJL300" s="208"/>
      <c r="OJM300" s="208"/>
      <c r="OJN300" s="208"/>
      <c r="OJO300" s="208"/>
      <c r="OJP300" s="208"/>
      <c r="OJQ300" s="208"/>
      <c r="OJR300" s="208"/>
      <c r="OJS300" s="208"/>
      <c r="OJT300" s="208"/>
      <c r="OJU300" s="208"/>
      <c r="OJV300" s="208"/>
      <c r="OJW300" s="208"/>
      <c r="OJX300" s="208"/>
      <c r="OJY300" s="208"/>
      <c r="OJZ300" s="208"/>
      <c r="OKA300" s="208"/>
      <c r="OKB300" s="208"/>
      <c r="OKC300" s="208"/>
      <c r="OKD300" s="208"/>
      <c r="OKE300" s="208"/>
      <c r="OKF300" s="208"/>
      <c r="OKG300" s="208"/>
      <c r="OKH300" s="208"/>
      <c r="OKI300" s="208"/>
      <c r="OKJ300" s="208"/>
      <c r="OKK300" s="208"/>
      <c r="OKL300" s="208"/>
      <c r="OKM300" s="208"/>
      <c r="OKN300" s="208"/>
      <c r="OKO300" s="208"/>
      <c r="OKP300" s="208"/>
      <c r="OKQ300" s="208"/>
      <c r="OKR300" s="208"/>
      <c r="OKS300" s="208"/>
      <c r="OKT300" s="208"/>
      <c r="OKU300" s="208"/>
      <c r="OKV300" s="208"/>
      <c r="OKW300" s="208"/>
      <c r="OKX300" s="208"/>
      <c r="OKY300" s="208"/>
      <c r="OKZ300" s="208"/>
      <c r="OLA300" s="208"/>
      <c r="OLB300" s="208"/>
      <c r="OLC300" s="208"/>
      <c r="OLD300" s="208"/>
      <c r="OLE300" s="208"/>
      <c r="OLF300" s="208"/>
      <c r="OLG300" s="208"/>
      <c r="OLH300" s="208"/>
      <c r="OLI300" s="208"/>
      <c r="OLJ300" s="208"/>
      <c r="OLK300" s="208"/>
      <c r="OLL300" s="208"/>
      <c r="OLM300" s="208"/>
      <c r="OLN300" s="208"/>
      <c r="OLO300" s="208"/>
      <c r="OLP300" s="208"/>
      <c r="OLQ300" s="208"/>
      <c r="OLR300" s="208"/>
      <c r="OLS300" s="208"/>
      <c r="OLT300" s="208"/>
      <c r="OLU300" s="208"/>
      <c r="OLV300" s="208"/>
      <c r="OLW300" s="208"/>
      <c r="OLX300" s="208"/>
      <c r="OLY300" s="208"/>
      <c r="OLZ300" s="208"/>
      <c r="OMA300" s="208"/>
      <c r="OMB300" s="208"/>
      <c r="OMC300" s="208"/>
      <c r="OMD300" s="208"/>
      <c r="OME300" s="208"/>
      <c r="OMF300" s="208"/>
      <c r="OMG300" s="208"/>
      <c r="OMH300" s="208"/>
      <c r="OMI300" s="208"/>
      <c r="OMJ300" s="208"/>
      <c r="OMK300" s="208"/>
      <c r="OML300" s="208"/>
      <c r="OMM300" s="208"/>
      <c r="OMN300" s="208"/>
      <c r="OMO300" s="208"/>
      <c r="OMP300" s="208"/>
      <c r="OMQ300" s="208"/>
      <c r="OMR300" s="208"/>
      <c r="OMS300" s="208"/>
      <c r="OMT300" s="208"/>
      <c r="OMU300" s="208"/>
      <c r="OMV300" s="208"/>
      <c r="OMW300" s="208"/>
      <c r="OMX300" s="208"/>
      <c r="OMY300" s="208"/>
      <c r="OMZ300" s="208"/>
      <c r="ONA300" s="208"/>
      <c r="ONB300" s="208"/>
      <c r="ONC300" s="208"/>
      <c r="OND300" s="208"/>
      <c r="ONE300" s="208"/>
      <c r="ONF300" s="208"/>
      <c r="ONG300" s="208"/>
      <c r="ONH300" s="208"/>
      <c r="ONI300" s="208"/>
      <c r="ONJ300" s="208"/>
      <c r="ONK300" s="208"/>
      <c r="ONL300" s="208"/>
      <c r="ONM300" s="208"/>
      <c r="ONN300" s="208"/>
      <c r="ONO300" s="208"/>
      <c r="ONP300" s="208"/>
      <c r="ONQ300" s="208"/>
      <c r="ONR300" s="208"/>
      <c r="ONS300" s="208"/>
      <c r="ONT300" s="208"/>
      <c r="ONU300" s="208"/>
      <c r="ONV300" s="208"/>
      <c r="ONW300" s="208"/>
      <c r="ONX300" s="208"/>
      <c r="ONY300" s="208"/>
      <c r="ONZ300" s="208"/>
      <c r="OOA300" s="208"/>
      <c r="OOB300" s="208"/>
      <c r="OOC300" s="208"/>
      <c r="OOD300" s="208"/>
      <c r="OOE300" s="208"/>
      <c r="OOF300" s="208"/>
      <c r="OOG300" s="208"/>
      <c r="OOH300" s="208"/>
      <c r="OOI300" s="208"/>
      <c r="OOJ300" s="208"/>
      <c r="OOK300" s="208"/>
      <c r="OOL300" s="208"/>
      <c r="OOM300" s="208"/>
      <c r="OON300" s="208"/>
      <c r="OOO300" s="208"/>
      <c r="OOP300" s="208"/>
      <c r="OOQ300" s="208"/>
      <c r="OOR300" s="208"/>
      <c r="OOS300" s="208"/>
      <c r="OOT300" s="208"/>
      <c r="OOU300" s="208"/>
      <c r="OOV300" s="208"/>
      <c r="OOW300" s="208"/>
      <c r="OOX300" s="208"/>
      <c r="OOY300" s="208"/>
      <c r="OOZ300" s="208"/>
      <c r="OPA300" s="208"/>
      <c r="OPB300" s="208"/>
      <c r="OPC300" s="208"/>
      <c r="OPD300" s="208"/>
      <c r="OPE300" s="208"/>
      <c r="OPF300" s="208"/>
      <c r="OPG300" s="208"/>
      <c r="OPH300" s="208"/>
      <c r="OPI300" s="208"/>
      <c r="OPJ300" s="208"/>
      <c r="OPK300" s="208"/>
      <c r="OPL300" s="208"/>
      <c r="OPM300" s="208"/>
      <c r="OPN300" s="208"/>
      <c r="OPO300" s="208"/>
      <c r="OPP300" s="208"/>
      <c r="OPQ300" s="208"/>
      <c r="OPR300" s="208"/>
      <c r="OPS300" s="208"/>
      <c r="OPT300" s="208"/>
      <c r="OPU300" s="208"/>
      <c r="OPV300" s="208"/>
      <c r="OPW300" s="208"/>
      <c r="OPX300" s="208"/>
      <c r="OPY300" s="208"/>
      <c r="OPZ300" s="208"/>
      <c r="OQA300" s="208"/>
      <c r="OQB300" s="208"/>
      <c r="OQC300" s="208"/>
      <c r="OQD300" s="208"/>
      <c r="OQE300" s="208"/>
      <c r="OQF300" s="208"/>
      <c r="OQG300" s="208"/>
      <c r="OQH300" s="208"/>
      <c r="OQI300" s="208"/>
      <c r="OQJ300" s="208"/>
      <c r="OQK300" s="208"/>
      <c r="OQL300" s="208"/>
      <c r="OQM300" s="208"/>
      <c r="OQN300" s="208"/>
      <c r="OQO300" s="208"/>
      <c r="OQP300" s="208"/>
      <c r="OQQ300" s="208"/>
      <c r="OQR300" s="208"/>
      <c r="OQS300" s="208"/>
      <c r="OQT300" s="208"/>
      <c r="OQU300" s="208"/>
      <c r="OQV300" s="208"/>
      <c r="OQW300" s="208"/>
      <c r="OQX300" s="208"/>
      <c r="OQY300" s="208"/>
      <c r="OQZ300" s="208"/>
      <c r="ORA300" s="208"/>
      <c r="ORB300" s="208"/>
      <c r="ORC300" s="208"/>
      <c r="ORD300" s="208"/>
      <c r="ORE300" s="208"/>
      <c r="ORF300" s="208"/>
      <c r="ORG300" s="208"/>
      <c r="ORH300" s="208"/>
      <c r="ORI300" s="208"/>
      <c r="ORJ300" s="208"/>
      <c r="ORK300" s="208"/>
      <c r="ORL300" s="208"/>
      <c r="ORM300" s="208"/>
      <c r="ORN300" s="208"/>
      <c r="ORO300" s="208"/>
      <c r="ORP300" s="208"/>
      <c r="ORQ300" s="208"/>
      <c r="ORR300" s="208"/>
      <c r="ORS300" s="208"/>
      <c r="ORT300" s="208"/>
      <c r="ORU300" s="208"/>
      <c r="ORV300" s="208"/>
      <c r="ORW300" s="208"/>
      <c r="ORX300" s="208"/>
      <c r="ORY300" s="208"/>
      <c r="ORZ300" s="208"/>
      <c r="OSA300" s="208"/>
      <c r="OSB300" s="208"/>
      <c r="OSC300" s="208"/>
      <c r="OSD300" s="208"/>
      <c r="OSE300" s="208"/>
      <c r="OSF300" s="208"/>
      <c r="OSG300" s="208"/>
      <c r="OSH300" s="208"/>
      <c r="OSI300" s="208"/>
      <c r="OSJ300" s="208"/>
      <c r="OSK300" s="208"/>
      <c r="OSL300" s="208"/>
      <c r="OSM300" s="208"/>
      <c r="OSN300" s="208"/>
      <c r="OSO300" s="208"/>
      <c r="OSP300" s="208"/>
      <c r="OSQ300" s="208"/>
      <c r="OSR300" s="208"/>
      <c r="OSS300" s="208"/>
      <c r="OST300" s="208"/>
      <c r="OSU300" s="208"/>
      <c r="OSV300" s="208"/>
      <c r="OSW300" s="208"/>
      <c r="OSX300" s="208"/>
      <c r="OSY300" s="208"/>
      <c r="OSZ300" s="208"/>
      <c r="OTA300" s="208"/>
      <c r="OTB300" s="208"/>
      <c r="OTC300" s="208"/>
      <c r="OTD300" s="208"/>
      <c r="OTE300" s="208"/>
      <c r="OTF300" s="208"/>
      <c r="OTG300" s="208"/>
      <c r="OTH300" s="208"/>
      <c r="OTI300" s="208"/>
      <c r="OTJ300" s="208"/>
      <c r="OTK300" s="208"/>
      <c r="OTL300" s="208"/>
      <c r="OTM300" s="208"/>
      <c r="OTN300" s="208"/>
      <c r="OTO300" s="208"/>
      <c r="OTP300" s="208"/>
      <c r="OTQ300" s="208"/>
      <c r="OTR300" s="208"/>
      <c r="OTS300" s="208"/>
      <c r="OTT300" s="208"/>
      <c r="OTU300" s="208"/>
      <c r="OTV300" s="208"/>
      <c r="OTW300" s="208"/>
      <c r="OTX300" s="208"/>
      <c r="OTY300" s="208"/>
      <c r="OTZ300" s="208"/>
      <c r="OUA300" s="208"/>
      <c r="OUB300" s="208"/>
      <c r="OUC300" s="208"/>
      <c r="OUD300" s="208"/>
      <c r="OUE300" s="208"/>
      <c r="OUF300" s="208"/>
      <c r="OUG300" s="208"/>
      <c r="OUH300" s="208"/>
      <c r="OUI300" s="208"/>
      <c r="OUJ300" s="208"/>
      <c r="OUK300" s="208"/>
      <c r="OUL300" s="208"/>
      <c r="OUM300" s="208"/>
      <c r="OUN300" s="208"/>
      <c r="OUO300" s="208"/>
      <c r="OUP300" s="208"/>
      <c r="OUQ300" s="208"/>
      <c r="OUR300" s="208"/>
      <c r="OUS300" s="208"/>
      <c r="OUT300" s="208"/>
      <c r="OUU300" s="208"/>
      <c r="OUV300" s="208"/>
      <c r="OUW300" s="208"/>
      <c r="OUX300" s="208"/>
      <c r="OUY300" s="208"/>
      <c r="OUZ300" s="208"/>
      <c r="OVA300" s="208"/>
      <c r="OVB300" s="208"/>
      <c r="OVC300" s="208"/>
      <c r="OVD300" s="208"/>
      <c r="OVE300" s="208"/>
      <c r="OVF300" s="208"/>
      <c r="OVG300" s="208"/>
      <c r="OVH300" s="208"/>
      <c r="OVI300" s="208"/>
      <c r="OVJ300" s="208"/>
      <c r="OVK300" s="208"/>
      <c r="OVL300" s="208"/>
      <c r="OVM300" s="208"/>
      <c r="OVN300" s="208"/>
      <c r="OVO300" s="208"/>
      <c r="OVP300" s="208"/>
      <c r="OVQ300" s="208"/>
      <c r="OVR300" s="208"/>
      <c r="OVS300" s="208"/>
      <c r="OVT300" s="208"/>
      <c r="OVU300" s="208"/>
      <c r="OVV300" s="208"/>
      <c r="OVW300" s="208"/>
      <c r="OVX300" s="208"/>
      <c r="OVY300" s="208"/>
      <c r="OVZ300" s="208"/>
      <c r="OWA300" s="208"/>
      <c r="OWB300" s="208"/>
      <c r="OWC300" s="208"/>
      <c r="OWD300" s="208"/>
      <c r="OWE300" s="208"/>
      <c r="OWF300" s="208"/>
      <c r="OWG300" s="208"/>
      <c r="OWH300" s="208"/>
      <c r="OWI300" s="208"/>
      <c r="OWJ300" s="208"/>
      <c r="OWK300" s="208"/>
      <c r="OWL300" s="208"/>
      <c r="OWM300" s="208"/>
      <c r="OWN300" s="208"/>
      <c r="OWO300" s="208"/>
      <c r="OWP300" s="208"/>
      <c r="OWQ300" s="208"/>
      <c r="OWR300" s="208"/>
      <c r="OWS300" s="208"/>
      <c r="OWT300" s="208"/>
      <c r="OWU300" s="208"/>
      <c r="OWV300" s="208"/>
      <c r="OWW300" s="208"/>
      <c r="OWX300" s="208"/>
      <c r="OWY300" s="208"/>
      <c r="OWZ300" s="208"/>
      <c r="OXA300" s="208"/>
      <c r="OXB300" s="208"/>
      <c r="OXC300" s="208"/>
      <c r="OXD300" s="208"/>
      <c r="OXE300" s="208"/>
      <c r="OXF300" s="208"/>
      <c r="OXG300" s="208"/>
      <c r="OXH300" s="208"/>
      <c r="OXI300" s="208"/>
      <c r="OXJ300" s="208"/>
      <c r="OXK300" s="208"/>
      <c r="OXL300" s="208"/>
      <c r="OXM300" s="208"/>
      <c r="OXN300" s="208"/>
      <c r="OXO300" s="208"/>
      <c r="OXP300" s="208"/>
      <c r="OXQ300" s="208"/>
      <c r="OXR300" s="208"/>
      <c r="OXS300" s="208"/>
      <c r="OXT300" s="208"/>
      <c r="OXU300" s="208"/>
      <c r="OXV300" s="208"/>
      <c r="OXW300" s="208"/>
      <c r="OXX300" s="208"/>
      <c r="OXY300" s="208"/>
      <c r="OXZ300" s="208"/>
      <c r="OYA300" s="208"/>
      <c r="OYB300" s="208"/>
      <c r="OYC300" s="208"/>
      <c r="OYD300" s="208"/>
      <c r="OYE300" s="208"/>
      <c r="OYF300" s="208"/>
      <c r="OYG300" s="208"/>
      <c r="OYH300" s="208"/>
      <c r="OYI300" s="208"/>
      <c r="OYJ300" s="208"/>
      <c r="OYK300" s="208"/>
      <c r="OYL300" s="208"/>
      <c r="OYM300" s="208"/>
      <c r="OYN300" s="208"/>
      <c r="OYO300" s="208"/>
      <c r="OYP300" s="208"/>
      <c r="OYQ300" s="208"/>
      <c r="OYR300" s="208"/>
      <c r="OYS300" s="208"/>
      <c r="OYT300" s="208"/>
      <c r="OYU300" s="208"/>
      <c r="OYV300" s="208"/>
      <c r="OYW300" s="208"/>
      <c r="OYX300" s="208"/>
      <c r="OYY300" s="208"/>
      <c r="OYZ300" s="208"/>
      <c r="OZA300" s="208"/>
      <c r="OZB300" s="208"/>
      <c r="OZC300" s="208"/>
      <c r="OZD300" s="208"/>
      <c r="OZE300" s="208"/>
      <c r="OZF300" s="208"/>
      <c r="OZG300" s="208"/>
      <c r="OZH300" s="208"/>
      <c r="OZI300" s="208"/>
      <c r="OZJ300" s="208"/>
      <c r="OZK300" s="208"/>
      <c r="OZL300" s="208"/>
      <c r="OZM300" s="208"/>
      <c r="OZN300" s="208"/>
      <c r="OZO300" s="208"/>
      <c r="OZP300" s="208"/>
      <c r="OZQ300" s="208"/>
      <c r="OZR300" s="208"/>
      <c r="OZS300" s="208"/>
      <c r="OZT300" s="208"/>
      <c r="OZU300" s="208"/>
      <c r="OZV300" s="208"/>
      <c r="OZW300" s="208"/>
      <c r="OZX300" s="208"/>
      <c r="OZY300" s="208"/>
      <c r="OZZ300" s="208"/>
      <c r="PAA300" s="208"/>
      <c r="PAB300" s="208"/>
      <c r="PAC300" s="208"/>
      <c r="PAD300" s="208"/>
      <c r="PAE300" s="208"/>
      <c r="PAF300" s="208"/>
      <c r="PAG300" s="208"/>
      <c r="PAH300" s="208"/>
      <c r="PAI300" s="208"/>
      <c r="PAJ300" s="208"/>
      <c r="PAK300" s="208"/>
      <c r="PAL300" s="208"/>
      <c r="PAM300" s="208"/>
      <c r="PAN300" s="208"/>
      <c r="PAO300" s="208"/>
      <c r="PAP300" s="208"/>
      <c r="PAQ300" s="208"/>
      <c r="PAR300" s="208"/>
      <c r="PAS300" s="208"/>
      <c r="PAT300" s="208"/>
      <c r="PAU300" s="208"/>
      <c r="PAV300" s="208"/>
      <c r="PAW300" s="208"/>
      <c r="PAX300" s="208"/>
      <c r="PAY300" s="208"/>
      <c r="PAZ300" s="208"/>
      <c r="PBA300" s="208"/>
      <c r="PBB300" s="208"/>
      <c r="PBC300" s="208"/>
      <c r="PBD300" s="208"/>
      <c r="PBE300" s="208"/>
      <c r="PBF300" s="208"/>
      <c r="PBG300" s="208"/>
      <c r="PBH300" s="208"/>
      <c r="PBI300" s="208"/>
      <c r="PBJ300" s="208"/>
      <c r="PBK300" s="208"/>
      <c r="PBL300" s="208"/>
      <c r="PBM300" s="208"/>
      <c r="PBN300" s="208"/>
      <c r="PBO300" s="208"/>
      <c r="PBP300" s="208"/>
      <c r="PBQ300" s="208"/>
      <c r="PBR300" s="208"/>
      <c r="PBS300" s="208"/>
      <c r="PBT300" s="208"/>
      <c r="PBU300" s="208"/>
      <c r="PBV300" s="208"/>
      <c r="PBW300" s="208"/>
      <c r="PBX300" s="208"/>
      <c r="PBY300" s="208"/>
      <c r="PBZ300" s="208"/>
      <c r="PCA300" s="208"/>
      <c r="PCB300" s="208"/>
      <c r="PCC300" s="208"/>
      <c r="PCD300" s="208"/>
      <c r="PCE300" s="208"/>
      <c r="PCF300" s="208"/>
      <c r="PCG300" s="208"/>
      <c r="PCH300" s="208"/>
      <c r="PCI300" s="208"/>
      <c r="PCJ300" s="208"/>
      <c r="PCK300" s="208"/>
      <c r="PCL300" s="208"/>
      <c r="PCM300" s="208"/>
      <c r="PCN300" s="208"/>
      <c r="PCO300" s="208"/>
      <c r="PCP300" s="208"/>
      <c r="PCQ300" s="208"/>
      <c r="PCR300" s="208"/>
      <c r="PCS300" s="208"/>
      <c r="PCT300" s="208"/>
      <c r="PCU300" s="208"/>
      <c r="PCV300" s="208"/>
      <c r="PCW300" s="208"/>
      <c r="PCX300" s="208"/>
      <c r="PCY300" s="208"/>
      <c r="PCZ300" s="208"/>
      <c r="PDA300" s="208"/>
      <c r="PDB300" s="208"/>
      <c r="PDC300" s="208"/>
      <c r="PDD300" s="208"/>
      <c r="PDE300" s="208"/>
      <c r="PDF300" s="208"/>
      <c r="PDG300" s="208"/>
      <c r="PDH300" s="208"/>
      <c r="PDI300" s="208"/>
      <c r="PDJ300" s="208"/>
      <c r="PDK300" s="208"/>
      <c r="PDL300" s="208"/>
      <c r="PDM300" s="208"/>
      <c r="PDN300" s="208"/>
      <c r="PDO300" s="208"/>
      <c r="PDP300" s="208"/>
      <c r="PDQ300" s="208"/>
      <c r="PDR300" s="208"/>
      <c r="PDS300" s="208"/>
      <c r="PDT300" s="208"/>
      <c r="PDU300" s="208"/>
      <c r="PDV300" s="208"/>
      <c r="PDW300" s="208"/>
      <c r="PDX300" s="208"/>
      <c r="PDY300" s="208"/>
      <c r="PDZ300" s="208"/>
      <c r="PEA300" s="208"/>
      <c r="PEB300" s="208"/>
      <c r="PEC300" s="208"/>
      <c r="PED300" s="208"/>
      <c r="PEE300" s="208"/>
      <c r="PEF300" s="208"/>
      <c r="PEG300" s="208"/>
      <c r="PEH300" s="208"/>
      <c r="PEI300" s="208"/>
      <c r="PEJ300" s="208"/>
      <c r="PEK300" s="208"/>
      <c r="PEL300" s="208"/>
      <c r="PEM300" s="208"/>
      <c r="PEN300" s="208"/>
      <c r="PEO300" s="208"/>
      <c r="PEP300" s="208"/>
      <c r="PEQ300" s="208"/>
      <c r="PER300" s="208"/>
      <c r="PES300" s="208"/>
      <c r="PET300" s="208"/>
      <c r="PEU300" s="208"/>
      <c r="PEV300" s="208"/>
      <c r="PEW300" s="208"/>
      <c r="PEX300" s="208"/>
      <c r="PEY300" s="208"/>
      <c r="PEZ300" s="208"/>
      <c r="PFA300" s="208"/>
      <c r="PFB300" s="208"/>
      <c r="PFC300" s="208"/>
      <c r="PFD300" s="208"/>
      <c r="PFE300" s="208"/>
      <c r="PFF300" s="208"/>
      <c r="PFG300" s="208"/>
      <c r="PFH300" s="208"/>
      <c r="PFI300" s="208"/>
      <c r="PFJ300" s="208"/>
      <c r="PFK300" s="208"/>
      <c r="PFL300" s="208"/>
      <c r="PFM300" s="208"/>
      <c r="PFN300" s="208"/>
      <c r="PFO300" s="208"/>
      <c r="PFP300" s="208"/>
      <c r="PFQ300" s="208"/>
      <c r="PFR300" s="208"/>
      <c r="PFS300" s="208"/>
      <c r="PFT300" s="208"/>
      <c r="PFU300" s="208"/>
      <c r="PFV300" s="208"/>
      <c r="PFW300" s="208"/>
      <c r="PFX300" s="208"/>
      <c r="PFY300" s="208"/>
      <c r="PFZ300" s="208"/>
      <c r="PGA300" s="208"/>
      <c r="PGB300" s="208"/>
      <c r="PGC300" s="208"/>
      <c r="PGD300" s="208"/>
      <c r="PGE300" s="208"/>
      <c r="PGF300" s="208"/>
      <c r="PGG300" s="208"/>
      <c r="PGH300" s="208"/>
      <c r="PGI300" s="208"/>
      <c r="PGJ300" s="208"/>
      <c r="PGK300" s="208"/>
      <c r="PGL300" s="208"/>
      <c r="PGM300" s="208"/>
      <c r="PGN300" s="208"/>
      <c r="PGO300" s="208"/>
      <c r="PGP300" s="208"/>
      <c r="PGQ300" s="208"/>
      <c r="PGR300" s="208"/>
      <c r="PGS300" s="208"/>
      <c r="PGT300" s="208"/>
      <c r="PGU300" s="208"/>
      <c r="PGV300" s="208"/>
      <c r="PGW300" s="208"/>
      <c r="PGX300" s="208"/>
      <c r="PGY300" s="208"/>
      <c r="PGZ300" s="208"/>
      <c r="PHA300" s="208"/>
      <c r="PHB300" s="208"/>
      <c r="PHC300" s="208"/>
      <c r="PHD300" s="208"/>
      <c r="PHE300" s="208"/>
      <c r="PHF300" s="208"/>
      <c r="PHG300" s="208"/>
      <c r="PHH300" s="208"/>
      <c r="PHI300" s="208"/>
      <c r="PHJ300" s="208"/>
      <c r="PHK300" s="208"/>
      <c r="PHL300" s="208"/>
      <c r="PHM300" s="208"/>
      <c r="PHN300" s="208"/>
      <c r="PHO300" s="208"/>
      <c r="PHP300" s="208"/>
      <c r="PHQ300" s="208"/>
      <c r="PHR300" s="208"/>
      <c r="PHS300" s="208"/>
      <c r="PHT300" s="208"/>
      <c r="PHU300" s="208"/>
      <c r="PHV300" s="208"/>
      <c r="PHW300" s="208"/>
      <c r="PHX300" s="208"/>
      <c r="PHY300" s="208"/>
      <c r="PHZ300" s="208"/>
      <c r="PIA300" s="208"/>
      <c r="PIB300" s="208"/>
      <c r="PIC300" s="208"/>
      <c r="PID300" s="208"/>
      <c r="PIE300" s="208"/>
      <c r="PIF300" s="208"/>
      <c r="PIG300" s="208"/>
      <c r="PIH300" s="208"/>
      <c r="PII300" s="208"/>
      <c r="PIJ300" s="208"/>
      <c r="PIK300" s="208"/>
      <c r="PIL300" s="208"/>
      <c r="PIM300" s="208"/>
      <c r="PIN300" s="208"/>
      <c r="PIO300" s="208"/>
      <c r="PIP300" s="208"/>
      <c r="PIQ300" s="208"/>
      <c r="PIR300" s="208"/>
      <c r="PIS300" s="208"/>
      <c r="PIT300" s="208"/>
      <c r="PIU300" s="208"/>
      <c r="PIV300" s="208"/>
      <c r="PIW300" s="208"/>
      <c r="PIX300" s="208"/>
      <c r="PIY300" s="208"/>
      <c r="PIZ300" s="208"/>
      <c r="PJA300" s="208"/>
      <c r="PJB300" s="208"/>
      <c r="PJC300" s="208"/>
      <c r="PJD300" s="208"/>
      <c r="PJE300" s="208"/>
      <c r="PJF300" s="208"/>
      <c r="PJG300" s="208"/>
      <c r="PJH300" s="208"/>
      <c r="PJI300" s="208"/>
      <c r="PJJ300" s="208"/>
      <c r="PJK300" s="208"/>
      <c r="PJL300" s="208"/>
      <c r="PJM300" s="208"/>
      <c r="PJN300" s="208"/>
      <c r="PJO300" s="208"/>
      <c r="PJP300" s="208"/>
      <c r="PJQ300" s="208"/>
      <c r="PJR300" s="208"/>
      <c r="PJS300" s="208"/>
      <c r="PJT300" s="208"/>
      <c r="PJU300" s="208"/>
      <c r="PJV300" s="208"/>
      <c r="PJW300" s="208"/>
      <c r="PJX300" s="208"/>
      <c r="PJY300" s="208"/>
      <c r="PJZ300" s="208"/>
      <c r="PKA300" s="208"/>
      <c r="PKB300" s="208"/>
      <c r="PKC300" s="208"/>
      <c r="PKD300" s="208"/>
      <c r="PKE300" s="208"/>
      <c r="PKF300" s="208"/>
      <c r="PKG300" s="208"/>
      <c r="PKH300" s="208"/>
      <c r="PKI300" s="208"/>
      <c r="PKJ300" s="208"/>
      <c r="PKK300" s="208"/>
      <c r="PKL300" s="208"/>
      <c r="PKM300" s="208"/>
      <c r="PKN300" s="208"/>
      <c r="PKO300" s="208"/>
      <c r="PKP300" s="208"/>
      <c r="PKQ300" s="208"/>
      <c r="PKR300" s="208"/>
      <c r="PKS300" s="208"/>
      <c r="PKT300" s="208"/>
      <c r="PKU300" s="208"/>
      <c r="PKV300" s="208"/>
      <c r="PKW300" s="208"/>
      <c r="PKX300" s="208"/>
      <c r="PKY300" s="208"/>
      <c r="PKZ300" s="208"/>
      <c r="PLA300" s="208"/>
      <c r="PLB300" s="208"/>
      <c r="PLC300" s="208"/>
      <c r="PLD300" s="208"/>
      <c r="PLE300" s="208"/>
      <c r="PLF300" s="208"/>
      <c r="PLG300" s="208"/>
      <c r="PLH300" s="208"/>
      <c r="PLI300" s="208"/>
      <c r="PLJ300" s="208"/>
      <c r="PLK300" s="208"/>
      <c r="PLL300" s="208"/>
      <c r="PLM300" s="208"/>
      <c r="PLN300" s="208"/>
      <c r="PLO300" s="208"/>
      <c r="PLP300" s="208"/>
      <c r="PLQ300" s="208"/>
      <c r="PLR300" s="208"/>
      <c r="PLS300" s="208"/>
      <c r="PLT300" s="208"/>
      <c r="PLU300" s="208"/>
      <c r="PLV300" s="208"/>
      <c r="PLW300" s="208"/>
      <c r="PLX300" s="208"/>
      <c r="PLY300" s="208"/>
      <c r="PLZ300" s="208"/>
      <c r="PMA300" s="208"/>
      <c r="PMB300" s="208"/>
      <c r="PMC300" s="208"/>
      <c r="PMD300" s="208"/>
      <c r="PME300" s="208"/>
      <c r="PMF300" s="208"/>
      <c r="PMG300" s="208"/>
      <c r="PMH300" s="208"/>
      <c r="PMI300" s="208"/>
      <c r="PMJ300" s="208"/>
      <c r="PMK300" s="208"/>
      <c r="PML300" s="208"/>
      <c r="PMM300" s="208"/>
      <c r="PMN300" s="208"/>
      <c r="PMO300" s="208"/>
      <c r="PMP300" s="208"/>
      <c r="PMQ300" s="208"/>
      <c r="PMR300" s="208"/>
      <c r="PMS300" s="208"/>
      <c r="PMT300" s="208"/>
      <c r="PMU300" s="208"/>
      <c r="PMV300" s="208"/>
      <c r="PMW300" s="208"/>
      <c r="PMX300" s="208"/>
      <c r="PMY300" s="208"/>
      <c r="PMZ300" s="208"/>
      <c r="PNA300" s="208"/>
      <c r="PNB300" s="208"/>
      <c r="PNC300" s="208"/>
      <c r="PND300" s="208"/>
      <c r="PNE300" s="208"/>
      <c r="PNF300" s="208"/>
      <c r="PNG300" s="208"/>
      <c r="PNH300" s="208"/>
      <c r="PNI300" s="208"/>
      <c r="PNJ300" s="208"/>
      <c r="PNK300" s="208"/>
      <c r="PNL300" s="208"/>
      <c r="PNM300" s="208"/>
      <c r="PNN300" s="208"/>
      <c r="PNO300" s="208"/>
      <c r="PNP300" s="208"/>
      <c r="PNQ300" s="208"/>
      <c r="PNR300" s="208"/>
      <c r="PNS300" s="208"/>
      <c r="PNT300" s="208"/>
      <c r="PNU300" s="208"/>
      <c r="PNV300" s="208"/>
      <c r="PNW300" s="208"/>
      <c r="PNX300" s="208"/>
      <c r="PNY300" s="208"/>
      <c r="PNZ300" s="208"/>
      <c r="POA300" s="208"/>
      <c r="POB300" s="208"/>
      <c r="POC300" s="208"/>
      <c r="POD300" s="208"/>
      <c r="POE300" s="208"/>
      <c r="POF300" s="208"/>
      <c r="POG300" s="208"/>
      <c r="POH300" s="208"/>
      <c r="POI300" s="208"/>
      <c r="POJ300" s="208"/>
      <c r="POK300" s="208"/>
      <c r="POL300" s="208"/>
      <c r="POM300" s="208"/>
      <c r="PON300" s="208"/>
      <c r="POO300" s="208"/>
      <c r="POP300" s="208"/>
      <c r="POQ300" s="208"/>
      <c r="POR300" s="208"/>
      <c r="POS300" s="208"/>
      <c r="POT300" s="208"/>
      <c r="POU300" s="208"/>
      <c r="POV300" s="208"/>
      <c r="POW300" s="208"/>
      <c r="POX300" s="208"/>
      <c r="POY300" s="208"/>
      <c r="POZ300" s="208"/>
      <c r="PPA300" s="208"/>
      <c r="PPB300" s="208"/>
      <c r="PPC300" s="208"/>
      <c r="PPD300" s="208"/>
      <c r="PPE300" s="208"/>
      <c r="PPF300" s="208"/>
      <c r="PPG300" s="208"/>
      <c r="PPH300" s="208"/>
      <c r="PPI300" s="208"/>
      <c r="PPJ300" s="208"/>
      <c r="PPK300" s="208"/>
      <c r="PPL300" s="208"/>
      <c r="PPM300" s="208"/>
      <c r="PPN300" s="208"/>
      <c r="PPO300" s="208"/>
      <c r="PPP300" s="208"/>
      <c r="PPQ300" s="208"/>
      <c r="PPR300" s="208"/>
      <c r="PPS300" s="208"/>
      <c r="PPT300" s="208"/>
      <c r="PPU300" s="208"/>
      <c r="PPV300" s="208"/>
      <c r="PPW300" s="208"/>
      <c r="PPX300" s="208"/>
      <c r="PPY300" s="208"/>
      <c r="PPZ300" s="208"/>
      <c r="PQA300" s="208"/>
      <c r="PQB300" s="208"/>
      <c r="PQC300" s="208"/>
      <c r="PQD300" s="208"/>
      <c r="PQE300" s="208"/>
      <c r="PQF300" s="208"/>
      <c r="PQG300" s="208"/>
      <c r="PQH300" s="208"/>
      <c r="PQI300" s="208"/>
      <c r="PQJ300" s="208"/>
      <c r="PQK300" s="208"/>
      <c r="PQL300" s="208"/>
      <c r="PQM300" s="208"/>
      <c r="PQN300" s="208"/>
      <c r="PQO300" s="208"/>
      <c r="PQP300" s="208"/>
      <c r="PQQ300" s="208"/>
      <c r="PQR300" s="208"/>
      <c r="PQS300" s="208"/>
      <c r="PQT300" s="208"/>
      <c r="PQU300" s="208"/>
      <c r="PQV300" s="208"/>
      <c r="PQW300" s="208"/>
      <c r="PQX300" s="208"/>
      <c r="PQY300" s="208"/>
      <c r="PQZ300" s="208"/>
      <c r="PRA300" s="208"/>
      <c r="PRB300" s="208"/>
      <c r="PRC300" s="208"/>
      <c r="PRD300" s="208"/>
      <c r="PRE300" s="208"/>
      <c r="PRF300" s="208"/>
      <c r="PRG300" s="208"/>
      <c r="PRH300" s="208"/>
      <c r="PRI300" s="208"/>
      <c r="PRJ300" s="208"/>
      <c r="PRK300" s="208"/>
      <c r="PRL300" s="208"/>
      <c r="PRM300" s="208"/>
      <c r="PRN300" s="208"/>
      <c r="PRO300" s="208"/>
      <c r="PRP300" s="208"/>
      <c r="PRQ300" s="208"/>
      <c r="PRR300" s="208"/>
      <c r="PRS300" s="208"/>
      <c r="PRT300" s="208"/>
      <c r="PRU300" s="208"/>
      <c r="PRV300" s="208"/>
      <c r="PRW300" s="208"/>
      <c r="PRX300" s="208"/>
      <c r="PRY300" s="208"/>
      <c r="PRZ300" s="208"/>
      <c r="PSA300" s="208"/>
      <c r="PSB300" s="208"/>
      <c r="PSC300" s="208"/>
      <c r="PSD300" s="208"/>
      <c r="PSE300" s="208"/>
      <c r="PSF300" s="208"/>
      <c r="PSG300" s="208"/>
      <c r="PSH300" s="208"/>
      <c r="PSI300" s="208"/>
      <c r="PSJ300" s="208"/>
      <c r="PSK300" s="208"/>
      <c r="PSL300" s="208"/>
      <c r="PSM300" s="208"/>
      <c r="PSN300" s="208"/>
      <c r="PSO300" s="208"/>
      <c r="PSP300" s="208"/>
      <c r="PSQ300" s="208"/>
      <c r="PSR300" s="208"/>
      <c r="PSS300" s="208"/>
      <c r="PST300" s="208"/>
      <c r="PSU300" s="208"/>
      <c r="PSV300" s="208"/>
      <c r="PSW300" s="208"/>
      <c r="PSX300" s="208"/>
      <c r="PSY300" s="208"/>
      <c r="PSZ300" s="208"/>
      <c r="PTA300" s="208"/>
      <c r="PTB300" s="208"/>
      <c r="PTC300" s="208"/>
      <c r="PTD300" s="208"/>
      <c r="PTE300" s="208"/>
      <c r="PTF300" s="208"/>
      <c r="PTG300" s="208"/>
      <c r="PTH300" s="208"/>
      <c r="PTI300" s="208"/>
      <c r="PTJ300" s="208"/>
      <c r="PTK300" s="208"/>
      <c r="PTL300" s="208"/>
      <c r="PTM300" s="208"/>
      <c r="PTN300" s="208"/>
      <c r="PTO300" s="208"/>
      <c r="PTP300" s="208"/>
      <c r="PTQ300" s="208"/>
      <c r="PTR300" s="208"/>
      <c r="PTS300" s="208"/>
      <c r="PTT300" s="208"/>
      <c r="PTU300" s="208"/>
      <c r="PTV300" s="208"/>
      <c r="PTW300" s="208"/>
      <c r="PTX300" s="208"/>
      <c r="PTY300" s="208"/>
      <c r="PTZ300" s="208"/>
      <c r="PUA300" s="208"/>
      <c r="PUB300" s="208"/>
      <c r="PUC300" s="208"/>
      <c r="PUD300" s="208"/>
      <c r="PUE300" s="208"/>
      <c r="PUF300" s="208"/>
      <c r="PUG300" s="208"/>
      <c r="PUH300" s="208"/>
      <c r="PUI300" s="208"/>
      <c r="PUJ300" s="208"/>
      <c r="PUK300" s="208"/>
      <c r="PUL300" s="208"/>
      <c r="PUM300" s="208"/>
      <c r="PUN300" s="208"/>
      <c r="PUO300" s="208"/>
      <c r="PUP300" s="208"/>
      <c r="PUQ300" s="208"/>
      <c r="PUR300" s="208"/>
      <c r="PUS300" s="208"/>
      <c r="PUT300" s="208"/>
      <c r="PUU300" s="208"/>
      <c r="PUV300" s="208"/>
      <c r="PUW300" s="208"/>
      <c r="PUX300" s="208"/>
      <c r="PUY300" s="208"/>
      <c r="PUZ300" s="208"/>
      <c r="PVA300" s="208"/>
      <c r="PVB300" s="208"/>
      <c r="PVC300" s="208"/>
      <c r="PVD300" s="208"/>
      <c r="PVE300" s="208"/>
      <c r="PVF300" s="208"/>
      <c r="PVG300" s="208"/>
      <c r="PVH300" s="208"/>
      <c r="PVI300" s="208"/>
      <c r="PVJ300" s="208"/>
      <c r="PVK300" s="208"/>
      <c r="PVL300" s="208"/>
      <c r="PVM300" s="208"/>
      <c r="PVN300" s="208"/>
      <c r="PVO300" s="208"/>
      <c r="PVP300" s="208"/>
      <c r="PVQ300" s="208"/>
      <c r="PVR300" s="208"/>
      <c r="PVS300" s="208"/>
      <c r="PVT300" s="208"/>
      <c r="PVU300" s="208"/>
      <c r="PVV300" s="208"/>
      <c r="PVW300" s="208"/>
      <c r="PVX300" s="208"/>
      <c r="PVY300" s="208"/>
      <c r="PVZ300" s="208"/>
      <c r="PWA300" s="208"/>
      <c r="PWB300" s="208"/>
      <c r="PWC300" s="208"/>
      <c r="PWD300" s="208"/>
      <c r="PWE300" s="208"/>
      <c r="PWF300" s="208"/>
      <c r="PWG300" s="208"/>
      <c r="PWH300" s="208"/>
      <c r="PWI300" s="208"/>
      <c r="PWJ300" s="208"/>
      <c r="PWK300" s="208"/>
      <c r="PWL300" s="208"/>
      <c r="PWM300" s="208"/>
      <c r="PWN300" s="208"/>
      <c r="PWO300" s="208"/>
      <c r="PWP300" s="208"/>
      <c r="PWQ300" s="208"/>
      <c r="PWR300" s="208"/>
      <c r="PWS300" s="208"/>
      <c r="PWT300" s="208"/>
      <c r="PWU300" s="208"/>
      <c r="PWV300" s="208"/>
      <c r="PWW300" s="208"/>
      <c r="PWX300" s="208"/>
      <c r="PWY300" s="208"/>
      <c r="PWZ300" s="208"/>
      <c r="PXA300" s="208"/>
      <c r="PXB300" s="208"/>
      <c r="PXC300" s="208"/>
      <c r="PXD300" s="208"/>
      <c r="PXE300" s="208"/>
      <c r="PXF300" s="208"/>
      <c r="PXG300" s="208"/>
      <c r="PXH300" s="208"/>
      <c r="PXI300" s="208"/>
      <c r="PXJ300" s="208"/>
      <c r="PXK300" s="208"/>
      <c r="PXL300" s="208"/>
      <c r="PXM300" s="208"/>
      <c r="PXN300" s="208"/>
      <c r="PXO300" s="208"/>
      <c r="PXP300" s="208"/>
      <c r="PXQ300" s="208"/>
      <c r="PXR300" s="208"/>
      <c r="PXS300" s="208"/>
      <c r="PXT300" s="208"/>
      <c r="PXU300" s="208"/>
      <c r="PXV300" s="208"/>
      <c r="PXW300" s="208"/>
      <c r="PXX300" s="208"/>
      <c r="PXY300" s="208"/>
      <c r="PXZ300" s="208"/>
      <c r="PYA300" s="208"/>
      <c r="PYB300" s="208"/>
      <c r="PYC300" s="208"/>
      <c r="PYD300" s="208"/>
      <c r="PYE300" s="208"/>
      <c r="PYF300" s="208"/>
      <c r="PYG300" s="208"/>
      <c r="PYH300" s="208"/>
      <c r="PYI300" s="208"/>
      <c r="PYJ300" s="208"/>
      <c r="PYK300" s="208"/>
      <c r="PYL300" s="208"/>
      <c r="PYM300" s="208"/>
      <c r="PYN300" s="208"/>
      <c r="PYO300" s="208"/>
      <c r="PYP300" s="208"/>
      <c r="PYQ300" s="208"/>
      <c r="PYR300" s="208"/>
      <c r="PYS300" s="208"/>
      <c r="PYT300" s="208"/>
      <c r="PYU300" s="208"/>
      <c r="PYV300" s="208"/>
      <c r="PYW300" s="208"/>
      <c r="PYX300" s="208"/>
      <c r="PYY300" s="208"/>
      <c r="PYZ300" s="208"/>
      <c r="PZA300" s="208"/>
      <c r="PZB300" s="208"/>
      <c r="PZC300" s="208"/>
      <c r="PZD300" s="208"/>
      <c r="PZE300" s="208"/>
      <c r="PZF300" s="208"/>
      <c r="PZG300" s="208"/>
      <c r="PZH300" s="208"/>
      <c r="PZI300" s="208"/>
      <c r="PZJ300" s="208"/>
      <c r="PZK300" s="208"/>
      <c r="PZL300" s="208"/>
      <c r="PZM300" s="208"/>
      <c r="PZN300" s="208"/>
      <c r="PZO300" s="208"/>
      <c r="PZP300" s="208"/>
      <c r="PZQ300" s="208"/>
      <c r="PZR300" s="208"/>
      <c r="PZS300" s="208"/>
      <c r="PZT300" s="208"/>
      <c r="PZU300" s="208"/>
      <c r="PZV300" s="208"/>
      <c r="PZW300" s="208"/>
      <c r="PZX300" s="208"/>
      <c r="PZY300" s="208"/>
      <c r="PZZ300" s="208"/>
      <c r="QAA300" s="208"/>
      <c r="QAB300" s="208"/>
      <c r="QAC300" s="208"/>
      <c r="QAD300" s="208"/>
      <c r="QAE300" s="208"/>
      <c r="QAF300" s="208"/>
      <c r="QAG300" s="208"/>
      <c r="QAH300" s="208"/>
      <c r="QAI300" s="208"/>
      <c r="QAJ300" s="208"/>
      <c r="QAK300" s="208"/>
      <c r="QAL300" s="208"/>
      <c r="QAM300" s="208"/>
      <c r="QAN300" s="208"/>
      <c r="QAO300" s="208"/>
      <c r="QAP300" s="208"/>
      <c r="QAQ300" s="208"/>
      <c r="QAR300" s="208"/>
      <c r="QAS300" s="208"/>
      <c r="QAT300" s="208"/>
      <c r="QAU300" s="208"/>
      <c r="QAV300" s="208"/>
      <c r="QAW300" s="208"/>
      <c r="QAX300" s="208"/>
      <c r="QAY300" s="208"/>
      <c r="QAZ300" s="208"/>
      <c r="QBA300" s="208"/>
      <c r="QBB300" s="208"/>
      <c r="QBC300" s="208"/>
      <c r="QBD300" s="208"/>
      <c r="QBE300" s="208"/>
      <c r="QBF300" s="208"/>
      <c r="QBG300" s="208"/>
      <c r="QBH300" s="208"/>
      <c r="QBI300" s="208"/>
      <c r="QBJ300" s="208"/>
      <c r="QBK300" s="208"/>
      <c r="QBL300" s="208"/>
      <c r="QBM300" s="208"/>
      <c r="QBN300" s="208"/>
      <c r="QBO300" s="208"/>
      <c r="QBP300" s="208"/>
      <c r="QBQ300" s="208"/>
      <c r="QBR300" s="208"/>
      <c r="QBS300" s="208"/>
      <c r="QBT300" s="208"/>
      <c r="QBU300" s="208"/>
      <c r="QBV300" s="208"/>
      <c r="QBW300" s="208"/>
      <c r="QBX300" s="208"/>
      <c r="QBY300" s="208"/>
      <c r="QBZ300" s="208"/>
      <c r="QCA300" s="208"/>
      <c r="QCB300" s="208"/>
      <c r="QCC300" s="208"/>
      <c r="QCD300" s="208"/>
      <c r="QCE300" s="208"/>
      <c r="QCF300" s="208"/>
      <c r="QCG300" s="208"/>
      <c r="QCH300" s="208"/>
      <c r="QCI300" s="208"/>
      <c r="QCJ300" s="208"/>
      <c r="QCK300" s="208"/>
      <c r="QCL300" s="208"/>
      <c r="QCM300" s="208"/>
      <c r="QCN300" s="208"/>
      <c r="QCO300" s="208"/>
      <c r="QCP300" s="208"/>
      <c r="QCQ300" s="208"/>
      <c r="QCR300" s="208"/>
      <c r="QCS300" s="208"/>
      <c r="QCT300" s="208"/>
      <c r="QCU300" s="208"/>
      <c r="QCV300" s="208"/>
      <c r="QCW300" s="208"/>
      <c r="QCX300" s="208"/>
      <c r="QCY300" s="208"/>
      <c r="QCZ300" s="208"/>
      <c r="QDA300" s="208"/>
      <c r="QDB300" s="208"/>
      <c r="QDC300" s="208"/>
      <c r="QDD300" s="208"/>
      <c r="QDE300" s="208"/>
      <c r="QDF300" s="208"/>
      <c r="QDG300" s="208"/>
      <c r="QDH300" s="208"/>
      <c r="QDI300" s="208"/>
      <c r="QDJ300" s="208"/>
      <c r="QDK300" s="208"/>
      <c r="QDL300" s="208"/>
      <c r="QDM300" s="208"/>
      <c r="QDN300" s="208"/>
      <c r="QDO300" s="208"/>
      <c r="QDP300" s="208"/>
      <c r="QDQ300" s="208"/>
      <c r="QDR300" s="208"/>
      <c r="QDS300" s="208"/>
      <c r="QDT300" s="208"/>
      <c r="QDU300" s="208"/>
      <c r="QDV300" s="208"/>
      <c r="QDW300" s="208"/>
      <c r="QDX300" s="208"/>
      <c r="QDY300" s="208"/>
      <c r="QDZ300" s="208"/>
      <c r="QEA300" s="208"/>
      <c r="QEB300" s="208"/>
      <c r="QEC300" s="208"/>
      <c r="QED300" s="208"/>
      <c r="QEE300" s="208"/>
      <c r="QEF300" s="208"/>
      <c r="QEG300" s="208"/>
      <c r="QEH300" s="208"/>
      <c r="QEI300" s="208"/>
      <c r="QEJ300" s="208"/>
      <c r="QEK300" s="208"/>
      <c r="QEL300" s="208"/>
      <c r="QEM300" s="208"/>
      <c r="QEN300" s="208"/>
      <c r="QEO300" s="208"/>
      <c r="QEP300" s="208"/>
      <c r="QEQ300" s="208"/>
      <c r="QER300" s="208"/>
      <c r="QES300" s="208"/>
      <c r="QET300" s="208"/>
      <c r="QEU300" s="208"/>
      <c r="QEV300" s="208"/>
      <c r="QEW300" s="208"/>
      <c r="QEX300" s="208"/>
      <c r="QEY300" s="208"/>
      <c r="QEZ300" s="208"/>
      <c r="QFA300" s="208"/>
      <c r="QFB300" s="208"/>
      <c r="QFC300" s="208"/>
      <c r="QFD300" s="208"/>
      <c r="QFE300" s="208"/>
      <c r="QFF300" s="208"/>
      <c r="QFG300" s="208"/>
      <c r="QFH300" s="208"/>
      <c r="QFI300" s="208"/>
      <c r="QFJ300" s="208"/>
      <c r="QFK300" s="208"/>
      <c r="QFL300" s="208"/>
      <c r="QFM300" s="208"/>
      <c r="QFN300" s="208"/>
      <c r="QFO300" s="208"/>
      <c r="QFP300" s="208"/>
      <c r="QFQ300" s="208"/>
      <c r="QFR300" s="208"/>
      <c r="QFS300" s="208"/>
      <c r="QFT300" s="208"/>
      <c r="QFU300" s="208"/>
      <c r="QFV300" s="208"/>
      <c r="QFW300" s="208"/>
      <c r="QFX300" s="208"/>
      <c r="QFY300" s="208"/>
      <c r="QFZ300" s="208"/>
      <c r="QGA300" s="208"/>
      <c r="QGB300" s="208"/>
      <c r="QGC300" s="208"/>
      <c r="QGD300" s="208"/>
      <c r="QGE300" s="208"/>
      <c r="QGF300" s="208"/>
      <c r="QGG300" s="208"/>
      <c r="QGH300" s="208"/>
      <c r="QGI300" s="208"/>
      <c r="QGJ300" s="208"/>
      <c r="QGK300" s="208"/>
      <c r="QGL300" s="208"/>
      <c r="QGM300" s="208"/>
      <c r="QGN300" s="208"/>
      <c r="QGO300" s="208"/>
      <c r="QGP300" s="208"/>
      <c r="QGQ300" s="208"/>
      <c r="QGR300" s="208"/>
      <c r="QGS300" s="208"/>
      <c r="QGT300" s="208"/>
      <c r="QGU300" s="208"/>
      <c r="QGV300" s="208"/>
      <c r="QGW300" s="208"/>
      <c r="QGX300" s="208"/>
      <c r="QGY300" s="208"/>
      <c r="QGZ300" s="208"/>
      <c r="QHA300" s="208"/>
      <c r="QHB300" s="208"/>
      <c r="QHC300" s="208"/>
      <c r="QHD300" s="208"/>
      <c r="QHE300" s="208"/>
      <c r="QHF300" s="208"/>
      <c r="QHG300" s="208"/>
      <c r="QHH300" s="208"/>
      <c r="QHI300" s="208"/>
      <c r="QHJ300" s="208"/>
      <c r="QHK300" s="208"/>
      <c r="QHL300" s="208"/>
      <c r="QHM300" s="208"/>
      <c r="QHN300" s="208"/>
      <c r="QHO300" s="208"/>
      <c r="QHP300" s="208"/>
      <c r="QHQ300" s="208"/>
      <c r="QHR300" s="208"/>
      <c r="QHS300" s="208"/>
      <c r="QHT300" s="208"/>
      <c r="QHU300" s="208"/>
      <c r="QHV300" s="208"/>
      <c r="QHW300" s="208"/>
      <c r="QHX300" s="208"/>
      <c r="QHY300" s="208"/>
      <c r="QHZ300" s="208"/>
      <c r="QIA300" s="208"/>
      <c r="QIB300" s="208"/>
      <c r="QIC300" s="208"/>
      <c r="QID300" s="208"/>
      <c r="QIE300" s="208"/>
      <c r="QIF300" s="208"/>
      <c r="QIG300" s="208"/>
      <c r="QIH300" s="208"/>
      <c r="QII300" s="208"/>
      <c r="QIJ300" s="208"/>
      <c r="QIK300" s="208"/>
      <c r="QIL300" s="208"/>
      <c r="QIM300" s="208"/>
      <c r="QIN300" s="208"/>
      <c r="QIO300" s="208"/>
      <c r="QIP300" s="208"/>
      <c r="QIQ300" s="208"/>
      <c r="QIR300" s="208"/>
      <c r="QIS300" s="208"/>
      <c r="QIT300" s="208"/>
      <c r="QIU300" s="208"/>
      <c r="QIV300" s="208"/>
      <c r="QIW300" s="208"/>
      <c r="QIX300" s="208"/>
      <c r="QIY300" s="208"/>
      <c r="QIZ300" s="208"/>
      <c r="QJA300" s="208"/>
      <c r="QJB300" s="208"/>
      <c r="QJC300" s="208"/>
      <c r="QJD300" s="208"/>
      <c r="QJE300" s="208"/>
      <c r="QJF300" s="208"/>
      <c r="QJG300" s="208"/>
      <c r="QJH300" s="208"/>
      <c r="QJI300" s="208"/>
      <c r="QJJ300" s="208"/>
      <c r="QJK300" s="208"/>
      <c r="QJL300" s="208"/>
      <c r="QJM300" s="208"/>
      <c r="QJN300" s="208"/>
      <c r="QJO300" s="208"/>
      <c r="QJP300" s="208"/>
      <c r="QJQ300" s="208"/>
      <c r="QJR300" s="208"/>
      <c r="QJS300" s="208"/>
      <c r="QJT300" s="208"/>
      <c r="QJU300" s="208"/>
      <c r="QJV300" s="208"/>
      <c r="QJW300" s="208"/>
      <c r="QJX300" s="208"/>
      <c r="QJY300" s="208"/>
      <c r="QJZ300" s="208"/>
      <c r="QKA300" s="208"/>
      <c r="QKB300" s="208"/>
      <c r="QKC300" s="208"/>
      <c r="QKD300" s="208"/>
      <c r="QKE300" s="208"/>
      <c r="QKF300" s="208"/>
      <c r="QKG300" s="208"/>
      <c r="QKH300" s="208"/>
      <c r="QKI300" s="208"/>
      <c r="QKJ300" s="208"/>
      <c r="QKK300" s="208"/>
      <c r="QKL300" s="208"/>
      <c r="QKM300" s="208"/>
      <c r="QKN300" s="208"/>
      <c r="QKO300" s="208"/>
      <c r="QKP300" s="208"/>
      <c r="QKQ300" s="208"/>
      <c r="QKR300" s="208"/>
      <c r="QKS300" s="208"/>
      <c r="QKT300" s="208"/>
      <c r="QKU300" s="208"/>
      <c r="QKV300" s="208"/>
      <c r="QKW300" s="208"/>
      <c r="QKX300" s="208"/>
      <c r="QKY300" s="208"/>
      <c r="QKZ300" s="208"/>
      <c r="QLA300" s="208"/>
      <c r="QLB300" s="208"/>
      <c r="QLC300" s="208"/>
      <c r="QLD300" s="208"/>
      <c r="QLE300" s="208"/>
      <c r="QLF300" s="208"/>
      <c r="QLG300" s="208"/>
      <c r="QLH300" s="208"/>
      <c r="QLI300" s="208"/>
      <c r="QLJ300" s="208"/>
      <c r="QLK300" s="208"/>
      <c r="QLL300" s="208"/>
      <c r="QLM300" s="208"/>
      <c r="QLN300" s="208"/>
      <c r="QLO300" s="208"/>
      <c r="QLP300" s="208"/>
      <c r="QLQ300" s="208"/>
      <c r="QLR300" s="208"/>
      <c r="QLS300" s="208"/>
      <c r="QLT300" s="208"/>
      <c r="QLU300" s="208"/>
      <c r="QLV300" s="208"/>
      <c r="QLW300" s="208"/>
      <c r="QLX300" s="208"/>
      <c r="QLY300" s="208"/>
      <c r="QLZ300" s="208"/>
      <c r="QMA300" s="208"/>
      <c r="QMB300" s="208"/>
      <c r="QMC300" s="208"/>
      <c r="QMD300" s="208"/>
      <c r="QME300" s="208"/>
      <c r="QMF300" s="208"/>
      <c r="QMG300" s="208"/>
      <c r="QMH300" s="208"/>
      <c r="QMI300" s="208"/>
      <c r="QMJ300" s="208"/>
      <c r="QMK300" s="208"/>
      <c r="QML300" s="208"/>
      <c r="QMM300" s="208"/>
      <c r="QMN300" s="208"/>
      <c r="QMO300" s="208"/>
      <c r="QMP300" s="208"/>
      <c r="QMQ300" s="208"/>
      <c r="QMR300" s="208"/>
      <c r="QMS300" s="208"/>
      <c r="QMT300" s="208"/>
      <c r="QMU300" s="208"/>
      <c r="QMV300" s="208"/>
      <c r="QMW300" s="208"/>
      <c r="QMX300" s="208"/>
      <c r="QMY300" s="208"/>
      <c r="QMZ300" s="208"/>
      <c r="QNA300" s="208"/>
      <c r="QNB300" s="208"/>
      <c r="QNC300" s="208"/>
      <c r="QND300" s="208"/>
      <c r="QNE300" s="208"/>
      <c r="QNF300" s="208"/>
      <c r="QNG300" s="208"/>
      <c r="QNH300" s="208"/>
      <c r="QNI300" s="208"/>
      <c r="QNJ300" s="208"/>
      <c r="QNK300" s="208"/>
      <c r="QNL300" s="208"/>
      <c r="QNM300" s="208"/>
      <c r="QNN300" s="208"/>
      <c r="QNO300" s="208"/>
      <c r="QNP300" s="208"/>
      <c r="QNQ300" s="208"/>
      <c r="QNR300" s="208"/>
      <c r="QNS300" s="208"/>
      <c r="QNT300" s="208"/>
      <c r="QNU300" s="208"/>
      <c r="QNV300" s="208"/>
      <c r="QNW300" s="208"/>
      <c r="QNX300" s="208"/>
      <c r="QNY300" s="208"/>
      <c r="QNZ300" s="208"/>
      <c r="QOA300" s="208"/>
      <c r="QOB300" s="208"/>
      <c r="QOC300" s="208"/>
      <c r="QOD300" s="208"/>
      <c r="QOE300" s="208"/>
      <c r="QOF300" s="208"/>
      <c r="QOG300" s="208"/>
      <c r="QOH300" s="208"/>
      <c r="QOI300" s="208"/>
      <c r="QOJ300" s="208"/>
      <c r="QOK300" s="208"/>
      <c r="QOL300" s="208"/>
      <c r="QOM300" s="208"/>
      <c r="QON300" s="208"/>
      <c r="QOO300" s="208"/>
      <c r="QOP300" s="208"/>
      <c r="QOQ300" s="208"/>
      <c r="QOR300" s="208"/>
      <c r="QOS300" s="208"/>
      <c r="QOT300" s="208"/>
      <c r="QOU300" s="208"/>
      <c r="QOV300" s="208"/>
      <c r="QOW300" s="208"/>
      <c r="QOX300" s="208"/>
      <c r="QOY300" s="208"/>
      <c r="QOZ300" s="208"/>
      <c r="QPA300" s="208"/>
      <c r="QPB300" s="208"/>
      <c r="QPC300" s="208"/>
      <c r="QPD300" s="208"/>
      <c r="QPE300" s="208"/>
      <c r="QPF300" s="208"/>
      <c r="QPG300" s="208"/>
      <c r="QPH300" s="208"/>
      <c r="QPI300" s="208"/>
      <c r="QPJ300" s="208"/>
      <c r="QPK300" s="208"/>
      <c r="QPL300" s="208"/>
      <c r="QPM300" s="208"/>
      <c r="QPN300" s="208"/>
      <c r="QPO300" s="208"/>
      <c r="QPP300" s="208"/>
      <c r="QPQ300" s="208"/>
      <c r="QPR300" s="208"/>
      <c r="QPS300" s="208"/>
      <c r="QPT300" s="208"/>
      <c r="QPU300" s="208"/>
      <c r="QPV300" s="208"/>
      <c r="QPW300" s="208"/>
      <c r="QPX300" s="208"/>
      <c r="QPY300" s="208"/>
      <c r="QPZ300" s="208"/>
      <c r="QQA300" s="208"/>
      <c r="QQB300" s="208"/>
      <c r="QQC300" s="208"/>
      <c r="QQD300" s="208"/>
      <c r="QQE300" s="208"/>
      <c r="QQF300" s="208"/>
      <c r="QQG300" s="208"/>
      <c r="QQH300" s="208"/>
      <c r="QQI300" s="208"/>
      <c r="QQJ300" s="208"/>
      <c r="QQK300" s="208"/>
      <c r="QQL300" s="208"/>
      <c r="QQM300" s="208"/>
      <c r="QQN300" s="208"/>
      <c r="QQO300" s="208"/>
      <c r="QQP300" s="208"/>
      <c r="QQQ300" s="208"/>
      <c r="QQR300" s="208"/>
      <c r="QQS300" s="208"/>
      <c r="QQT300" s="208"/>
      <c r="QQU300" s="208"/>
      <c r="QQV300" s="208"/>
      <c r="QQW300" s="208"/>
      <c r="QQX300" s="208"/>
      <c r="QQY300" s="208"/>
      <c r="QQZ300" s="208"/>
      <c r="QRA300" s="208"/>
      <c r="QRB300" s="208"/>
      <c r="QRC300" s="208"/>
      <c r="QRD300" s="208"/>
      <c r="QRE300" s="208"/>
      <c r="QRF300" s="208"/>
      <c r="QRG300" s="208"/>
      <c r="QRH300" s="208"/>
      <c r="QRI300" s="208"/>
      <c r="QRJ300" s="208"/>
      <c r="QRK300" s="208"/>
      <c r="QRL300" s="208"/>
      <c r="QRM300" s="208"/>
      <c r="QRN300" s="208"/>
      <c r="QRO300" s="208"/>
      <c r="QRP300" s="208"/>
      <c r="QRQ300" s="208"/>
      <c r="QRR300" s="208"/>
      <c r="QRS300" s="208"/>
      <c r="QRT300" s="208"/>
      <c r="QRU300" s="208"/>
      <c r="QRV300" s="208"/>
      <c r="QRW300" s="208"/>
      <c r="QRX300" s="208"/>
      <c r="QRY300" s="208"/>
      <c r="QRZ300" s="208"/>
      <c r="QSA300" s="208"/>
      <c r="QSB300" s="208"/>
      <c r="QSC300" s="208"/>
      <c r="QSD300" s="208"/>
      <c r="QSE300" s="208"/>
      <c r="QSF300" s="208"/>
      <c r="QSG300" s="208"/>
      <c r="QSH300" s="208"/>
      <c r="QSI300" s="208"/>
      <c r="QSJ300" s="208"/>
      <c r="QSK300" s="208"/>
      <c r="QSL300" s="208"/>
      <c r="QSM300" s="208"/>
      <c r="QSN300" s="208"/>
      <c r="QSO300" s="208"/>
      <c r="QSP300" s="208"/>
      <c r="QSQ300" s="208"/>
      <c r="QSR300" s="208"/>
      <c r="QSS300" s="208"/>
      <c r="QST300" s="208"/>
      <c r="QSU300" s="208"/>
      <c r="QSV300" s="208"/>
      <c r="QSW300" s="208"/>
      <c r="QSX300" s="208"/>
      <c r="QSY300" s="208"/>
      <c r="QSZ300" s="208"/>
      <c r="QTA300" s="208"/>
      <c r="QTB300" s="208"/>
      <c r="QTC300" s="208"/>
      <c r="QTD300" s="208"/>
      <c r="QTE300" s="208"/>
      <c r="QTF300" s="208"/>
      <c r="QTG300" s="208"/>
      <c r="QTH300" s="208"/>
      <c r="QTI300" s="208"/>
      <c r="QTJ300" s="208"/>
      <c r="QTK300" s="208"/>
      <c r="QTL300" s="208"/>
      <c r="QTM300" s="208"/>
      <c r="QTN300" s="208"/>
      <c r="QTO300" s="208"/>
      <c r="QTP300" s="208"/>
      <c r="QTQ300" s="208"/>
      <c r="QTR300" s="208"/>
      <c r="QTS300" s="208"/>
      <c r="QTT300" s="208"/>
      <c r="QTU300" s="208"/>
      <c r="QTV300" s="208"/>
      <c r="QTW300" s="208"/>
      <c r="QTX300" s="208"/>
      <c r="QTY300" s="208"/>
      <c r="QTZ300" s="208"/>
      <c r="QUA300" s="208"/>
      <c r="QUB300" s="208"/>
      <c r="QUC300" s="208"/>
      <c r="QUD300" s="208"/>
      <c r="QUE300" s="208"/>
      <c r="QUF300" s="208"/>
      <c r="QUG300" s="208"/>
      <c r="QUH300" s="208"/>
      <c r="QUI300" s="208"/>
      <c r="QUJ300" s="208"/>
      <c r="QUK300" s="208"/>
      <c r="QUL300" s="208"/>
      <c r="QUM300" s="208"/>
      <c r="QUN300" s="208"/>
      <c r="QUO300" s="208"/>
      <c r="QUP300" s="208"/>
      <c r="QUQ300" s="208"/>
      <c r="QUR300" s="208"/>
      <c r="QUS300" s="208"/>
      <c r="QUT300" s="208"/>
      <c r="QUU300" s="208"/>
      <c r="QUV300" s="208"/>
      <c r="QUW300" s="208"/>
      <c r="QUX300" s="208"/>
      <c r="QUY300" s="208"/>
      <c r="QUZ300" s="208"/>
      <c r="QVA300" s="208"/>
      <c r="QVB300" s="208"/>
      <c r="QVC300" s="208"/>
      <c r="QVD300" s="208"/>
      <c r="QVE300" s="208"/>
      <c r="QVF300" s="208"/>
      <c r="QVG300" s="208"/>
      <c r="QVH300" s="208"/>
      <c r="QVI300" s="208"/>
      <c r="QVJ300" s="208"/>
      <c r="QVK300" s="208"/>
      <c r="QVL300" s="208"/>
      <c r="QVM300" s="208"/>
      <c r="QVN300" s="208"/>
      <c r="QVO300" s="208"/>
      <c r="QVP300" s="208"/>
      <c r="QVQ300" s="208"/>
      <c r="QVR300" s="208"/>
      <c r="QVS300" s="208"/>
      <c r="QVT300" s="208"/>
      <c r="QVU300" s="208"/>
      <c r="QVV300" s="208"/>
      <c r="QVW300" s="208"/>
      <c r="QVX300" s="208"/>
      <c r="QVY300" s="208"/>
      <c r="QVZ300" s="208"/>
      <c r="QWA300" s="208"/>
      <c r="QWB300" s="208"/>
      <c r="QWC300" s="208"/>
      <c r="QWD300" s="208"/>
      <c r="QWE300" s="208"/>
      <c r="QWF300" s="208"/>
      <c r="QWG300" s="208"/>
      <c r="QWH300" s="208"/>
      <c r="QWI300" s="208"/>
      <c r="QWJ300" s="208"/>
      <c r="QWK300" s="208"/>
      <c r="QWL300" s="208"/>
      <c r="QWM300" s="208"/>
      <c r="QWN300" s="208"/>
      <c r="QWO300" s="208"/>
      <c r="QWP300" s="208"/>
      <c r="QWQ300" s="208"/>
      <c r="QWR300" s="208"/>
      <c r="QWS300" s="208"/>
      <c r="QWT300" s="208"/>
      <c r="QWU300" s="208"/>
      <c r="QWV300" s="208"/>
      <c r="QWW300" s="208"/>
      <c r="QWX300" s="208"/>
      <c r="QWY300" s="208"/>
      <c r="QWZ300" s="208"/>
      <c r="QXA300" s="208"/>
      <c r="QXB300" s="208"/>
      <c r="QXC300" s="208"/>
      <c r="QXD300" s="208"/>
      <c r="QXE300" s="208"/>
      <c r="QXF300" s="208"/>
      <c r="QXG300" s="208"/>
      <c r="QXH300" s="208"/>
      <c r="QXI300" s="208"/>
      <c r="QXJ300" s="208"/>
      <c r="QXK300" s="208"/>
      <c r="QXL300" s="208"/>
      <c r="QXM300" s="208"/>
      <c r="QXN300" s="208"/>
      <c r="QXO300" s="208"/>
      <c r="QXP300" s="208"/>
      <c r="QXQ300" s="208"/>
      <c r="QXR300" s="208"/>
      <c r="QXS300" s="208"/>
      <c r="QXT300" s="208"/>
      <c r="QXU300" s="208"/>
      <c r="QXV300" s="208"/>
      <c r="QXW300" s="208"/>
      <c r="QXX300" s="208"/>
      <c r="QXY300" s="208"/>
      <c r="QXZ300" s="208"/>
      <c r="QYA300" s="208"/>
      <c r="QYB300" s="208"/>
      <c r="QYC300" s="208"/>
      <c r="QYD300" s="208"/>
      <c r="QYE300" s="208"/>
      <c r="QYF300" s="208"/>
      <c r="QYG300" s="208"/>
      <c r="QYH300" s="208"/>
      <c r="QYI300" s="208"/>
      <c r="QYJ300" s="208"/>
      <c r="QYK300" s="208"/>
      <c r="QYL300" s="208"/>
      <c r="QYM300" s="208"/>
      <c r="QYN300" s="208"/>
      <c r="QYO300" s="208"/>
      <c r="QYP300" s="208"/>
      <c r="QYQ300" s="208"/>
      <c r="QYR300" s="208"/>
      <c r="QYS300" s="208"/>
      <c r="QYT300" s="208"/>
      <c r="QYU300" s="208"/>
      <c r="QYV300" s="208"/>
      <c r="QYW300" s="208"/>
      <c r="QYX300" s="208"/>
      <c r="QYY300" s="208"/>
      <c r="QYZ300" s="208"/>
      <c r="QZA300" s="208"/>
      <c r="QZB300" s="208"/>
      <c r="QZC300" s="208"/>
      <c r="QZD300" s="208"/>
      <c r="QZE300" s="208"/>
      <c r="QZF300" s="208"/>
      <c r="QZG300" s="208"/>
      <c r="QZH300" s="208"/>
      <c r="QZI300" s="208"/>
      <c r="QZJ300" s="208"/>
      <c r="QZK300" s="208"/>
      <c r="QZL300" s="208"/>
      <c r="QZM300" s="208"/>
      <c r="QZN300" s="208"/>
      <c r="QZO300" s="208"/>
      <c r="QZP300" s="208"/>
      <c r="QZQ300" s="208"/>
      <c r="QZR300" s="208"/>
      <c r="QZS300" s="208"/>
      <c r="QZT300" s="208"/>
      <c r="QZU300" s="208"/>
      <c r="QZV300" s="208"/>
      <c r="QZW300" s="208"/>
      <c r="QZX300" s="208"/>
      <c r="QZY300" s="208"/>
      <c r="QZZ300" s="208"/>
      <c r="RAA300" s="208"/>
      <c r="RAB300" s="208"/>
      <c r="RAC300" s="208"/>
      <c r="RAD300" s="208"/>
      <c r="RAE300" s="208"/>
      <c r="RAF300" s="208"/>
      <c r="RAG300" s="208"/>
      <c r="RAH300" s="208"/>
      <c r="RAI300" s="208"/>
      <c r="RAJ300" s="208"/>
      <c r="RAK300" s="208"/>
      <c r="RAL300" s="208"/>
      <c r="RAM300" s="208"/>
      <c r="RAN300" s="208"/>
      <c r="RAO300" s="208"/>
      <c r="RAP300" s="208"/>
      <c r="RAQ300" s="208"/>
      <c r="RAR300" s="208"/>
      <c r="RAS300" s="208"/>
      <c r="RAT300" s="208"/>
      <c r="RAU300" s="208"/>
      <c r="RAV300" s="208"/>
      <c r="RAW300" s="208"/>
      <c r="RAX300" s="208"/>
      <c r="RAY300" s="208"/>
      <c r="RAZ300" s="208"/>
      <c r="RBA300" s="208"/>
      <c r="RBB300" s="208"/>
      <c r="RBC300" s="208"/>
      <c r="RBD300" s="208"/>
      <c r="RBE300" s="208"/>
      <c r="RBF300" s="208"/>
      <c r="RBG300" s="208"/>
      <c r="RBH300" s="208"/>
      <c r="RBI300" s="208"/>
      <c r="RBJ300" s="208"/>
      <c r="RBK300" s="208"/>
      <c r="RBL300" s="208"/>
      <c r="RBM300" s="208"/>
      <c r="RBN300" s="208"/>
      <c r="RBO300" s="208"/>
      <c r="RBP300" s="208"/>
      <c r="RBQ300" s="208"/>
      <c r="RBR300" s="208"/>
      <c r="RBS300" s="208"/>
      <c r="RBT300" s="208"/>
      <c r="RBU300" s="208"/>
      <c r="RBV300" s="208"/>
      <c r="RBW300" s="208"/>
      <c r="RBX300" s="208"/>
      <c r="RBY300" s="208"/>
      <c r="RBZ300" s="208"/>
      <c r="RCA300" s="208"/>
      <c r="RCB300" s="208"/>
      <c r="RCC300" s="208"/>
      <c r="RCD300" s="208"/>
      <c r="RCE300" s="208"/>
      <c r="RCF300" s="208"/>
      <c r="RCG300" s="208"/>
      <c r="RCH300" s="208"/>
      <c r="RCI300" s="208"/>
      <c r="RCJ300" s="208"/>
      <c r="RCK300" s="208"/>
      <c r="RCL300" s="208"/>
      <c r="RCM300" s="208"/>
      <c r="RCN300" s="208"/>
      <c r="RCO300" s="208"/>
      <c r="RCP300" s="208"/>
      <c r="RCQ300" s="208"/>
      <c r="RCR300" s="208"/>
      <c r="RCS300" s="208"/>
      <c r="RCT300" s="208"/>
      <c r="RCU300" s="208"/>
      <c r="RCV300" s="208"/>
      <c r="RCW300" s="208"/>
      <c r="RCX300" s="208"/>
      <c r="RCY300" s="208"/>
      <c r="RCZ300" s="208"/>
      <c r="RDA300" s="208"/>
      <c r="RDB300" s="208"/>
      <c r="RDC300" s="208"/>
      <c r="RDD300" s="208"/>
      <c r="RDE300" s="208"/>
      <c r="RDF300" s="208"/>
      <c r="RDG300" s="208"/>
      <c r="RDH300" s="208"/>
      <c r="RDI300" s="208"/>
      <c r="RDJ300" s="208"/>
      <c r="RDK300" s="208"/>
      <c r="RDL300" s="208"/>
      <c r="RDM300" s="208"/>
      <c r="RDN300" s="208"/>
      <c r="RDO300" s="208"/>
      <c r="RDP300" s="208"/>
      <c r="RDQ300" s="208"/>
      <c r="RDR300" s="208"/>
      <c r="RDS300" s="208"/>
      <c r="RDT300" s="208"/>
      <c r="RDU300" s="208"/>
      <c r="RDV300" s="208"/>
      <c r="RDW300" s="208"/>
      <c r="RDX300" s="208"/>
      <c r="RDY300" s="208"/>
      <c r="RDZ300" s="208"/>
      <c r="REA300" s="208"/>
      <c r="REB300" s="208"/>
      <c r="REC300" s="208"/>
      <c r="RED300" s="208"/>
      <c r="REE300" s="208"/>
      <c r="REF300" s="208"/>
      <c r="REG300" s="208"/>
      <c r="REH300" s="208"/>
      <c r="REI300" s="208"/>
      <c r="REJ300" s="208"/>
      <c r="REK300" s="208"/>
      <c r="REL300" s="208"/>
      <c r="REM300" s="208"/>
      <c r="REN300" s="208"/>
      <c r="REO300" s="208"/>
      <c r="REP300" s="208"/>
      <c r="REQ300" s="208"/>
      <c r="RER300" s="208"/>
      <c r="RES300" s="208"/>
      <c r="RET300" s="208"/>
      <c r="REU300" s="208"/>
      <c r="REV300" s="208"/>
      <c r="REW300" s="208"/>
      <c r="REX300" s="208"/>
      <c r="REY300" s="208"/>
      <c r="REZ300" s="208"/>
      <c r="RFA300" s="208"/>
      <c r="RFB300" s="208"/>
      <c r="RFC300" s="208"/>
      <c r="RFD300" s="208"/>
      <c r="RFE300" s="208"/>
      <c r="RFF300" s="208"/>
      <c r="RFG300" s="208"/>
      <c r="RFH300" s="208"/>
      <c r="RFI300" s="208"/>
      <c r="RFJ300" s="208"/>
      <c r="RFK300" s="208"/>
      <c r="RFL300" s="208"/>
      <c r="RFM300" s="208"/>
      <c r="RFN300" s="208"/>
      <c r="RFO300" s="208"/>
      <c r="RFP300" s="208"/>
      <c r="RFQ300" s="208"/>
      <c r="RFR300" s="208"/>
      <c r="RFS300" s="208"/>
      <c r="RFT300" s="208"/>
      <c r="RFU300" s="208"/>
      <c r="RFV300" s="208"/>
      <c r="RFW300" s="208"/>
      <c r="RFX300" s="208"/>
      <c r="RFY300" s="208"/>
      <c r="RFZ300" s="208"/>
      <c r="RGA300" s="208"/>
      <c r="RGB300" s="208"/>
      <c r="RGC300" s="208"/>
      <c r="RGD300" s="208"/>
      <c r="RGE300" s="208"/>
      <c r="RGF300" s="208"/>
      <c r="RGG300" s="208"/>
      <c r="RGH300" s="208"/>
      <c r="RGI300" s="208"/>
      <c r="RGJ300" s="208"/>
      <c r="RGK300" s="208"/>
      <c r="RGL300" s="208"/>
      <c r="RGM300" s="208"/>
      <c r="RGN300" s="208"/>
      <c r="RGO300" s="208"/>
      <c r="RGP300" s="208"/>
      <c r="RGQ300" s="208"/>
      <c r="RGR300" s="208"/>
      <c r="RGS300" s="208"/>
      <c r="RGT300" s="208"/>
      <c r="RGU300" s="208"/>
      <c r="RGV300" s="208"/>
      <c r="RGW300" s="208"/>
      <c r="RGX300" s="208"/>
      <c r="RGY300" s="208"/>
      <c r="RGZ300" s="208"/>
      <c r="RHA300" s="208"/>
      <c r="RHB300" s="208"/>
      <c r="RHC300" s="208"/>
      <c r="RHD300" s="208"/>
      <c r="RHE300" s="208"/>
      <c r="RHF300" s="208"/>
      <c r="RHG300" s="208"/>
      <c r="RHH300" s="208"/>
      <c r="RHI300" s="208"/>
      <c r="RHJ300" s="208"/>
      <c r="RHK300" s="208"/>
      <c r="RHL300" s="208"/>
      <c r="RHM300" s="208"/>
      <c r="RHN300" s="208"/>
      <c r="RHO300" s="208"/>
      <c r="RHP300" s="208"/>
      <c r="RHQ300" s="208"/>
      <c r="RHR300" s="208"/>
      <c r="RHS300" s="208"/>
      <c r="RHT300" s="208"/>
      <c r="RHU300" s="208"/>
      <c r="RHV300" s="208"/>
      <c r="RHW300" s="208"/>
      <c r="RHX300" s="208"/>
      <c r="RHY300" s="208"/>
      <c r="RHZ300" s="208"/>
      <c r="RIA300" s="208"/>
      <c r="RIB300" s="208"/>
      <c r="RIC300" s="208"/>
      <c r="RID300" s="208"/>
      <c r="RIE300" s="208"/>
      <c r="RIF300" s="208"/>
      <c r="RIG300" s="208"/>
      <c r="RIH300" s="208"/>
      <c r="RII300" s="208"/>
      <c r="RIJ300" s="208"/>
      <c r="RIK300" s="208"/>
      <c r="RIL300" s="208"/>
      <c r="RIM300" s="208"/>
      <c r="RIN300" s="208"/>
      <c r="RIO300" s="208"/>
      <c r="RIP300" s="208"/>
      <c r="RIQ300" s="208"/>
      <c r="RIR300" s="208"/>
      <c r="RIS300" s="208"/>
      <c r="RIT300" s="208"/>
      <c r="RIU300" s="208"/>
      <c r="RIV300" s="208"/>
      <c r="RIW300" s="208"/>
      <c r="RIX300" s="208"/>
      <c r="RIY300" s="208"/>
      <c r="RIZ300" s="208"/>
      <c r="RJA300" s="208"/>
      <c r="RJB300" s="208"/>
      <c r="RJC300" s="208"/>
      <c r="RJD300" s="208"/>
      <c r="RJE300" s="208"/>
      <c r="RJF300" s="208"/>
      <c r="RJG300" s="208"/>
      <c r="RJH300" s="208"/>
      <c r="RJI300" s="208"/>
      <c r="RJJ300" s="208"/>
      <c r="RJK300" s="208"/>
      <c r="RJL300" s="208"/>
      <c r="RJM300" s="208"/>
      <c r="RJN300" s="208"/>
      <c r="RJO300" s="208"/>
      <c r="RJP300" s="208"/>
      <c r="RJQ300" s="208"/>
      <c r="RJR300" s="208"/>
      <c r="RJS300" s="208"/>
      <c r="RJT300" s="208"/>
      <c r="RJU300" s="208"/>
      <c r="RJV300" s="208"/>
      <c r="RJW300" s="208"/>
      <c r="RJX300" s="208"/>
      <c r="RJY300" s="208"/>
      <c r="RJZ300" s="208"/>
      <c r="RKA300" s="208"/>
      <c r="RKB300" s="208"/>
      <c r="RKC300" s="208"/>
      <c r="RKD300" s="208"/>
      <c r="RKE300" s="208"/>
      <c r="RKF300" s="208"/>
      <c r="RKG300" s="208"/>
      <c r="RKH300" s="208"/>
      <c r="RKI300" s="208"/>
      <c r="RKJ300" s="208"/>
      <c r="RKK300" s="208"/>
      <c r="RKL300" s="208"/>
      <c r="RKM300" s="208"/>
      <c r="RKN300" s="208"/>
      <c r="RKO300" s="208"/>
      <c r="RKP300" s="208"/>
      <c r="RKQ300" s="208"/>
      <c r="RKR300" s="208"/>
      <c r="RKS300" s="208"/>
      <c r="RKT300" s="208"/>
      <c r="RKU300" s="208"/>
      <c r="RKV300" s="208"/>
      <c r="RKW300" s="208"/>
      <c r="RKX300" s="208"/>
      <c r="RKY300" s="208"/>
      <c r="RKZ300" s="208"/>
      <c r="RLA300" s="208"/>
      <c r="RLB300" s="208"/>
      <c r="RLC300" s="208"/>
      <c r="RLD300" s="208"/>
      <c r="RLE300" s="208"/>
      <c r="RLF300" s="208"/>
      <c r="RLG300" s="208"/>
      <c r="RLH300" s="208"/>
      <c r="RLI300" s="208"/>
      <c r="RLJ300" s="208"/>
      <c r="RLK300" s="208"/>
      <c r="RLL300" s="208"/>
      <c r="RLM300" s="208"/>
      <c r="RLN300" s="208"/>
      <c r="RLO300" s="208"/>
      <c r="RLP300" s="208"/>
      <c r="RLQ300" s="208"/>
      <c r="RLR300" s="208"/>
      <c r="RLS300" s="208"/>
      <c r="RLT300" s="208"/>
      <c r="RLU300" s="208"/>
      <c r="RLV300" s="208"/>
      <c r="RLW300" s="208"/>
      <c r="RLX300" s="208"/>
      <c r="RLY300" s="208"/>
      <c r="RLZ300" s="208"/>
      <c r="RMA300" s="208"/>
      <c r="RMB300" s="208"/>
      <c r="RMC300" s="208"/>
      <c r="RMD300" s="208"/>
      <c r="RME300" s="208"/>
      <c r="RMF300" s="208"/>
      <c r="RMG300" s="208"/>
      <c r="RMH300" s="208"/>
      <c r="RMI300" s="208"/>
      <c r="RMJ300" s="208"/>
      <c r="RMK300" s="208"/>
      <c r="RML300" s="208"/>
      <c r="RMM300" s="208"/>
      <c r="RMN300" s="208"/>
      <c r="RMO300" s="208"/>
      <c r="RMP300" s="208"/>
      <c r="RMQ300" s="208"/>
      <c r="RMR300" s="208"/>
      <c r="RMS300" s="208"/>
      <c r="RMT300" s="208"/>
      <c r="RMU300" s="208"/>
      <c r="RMV300" s="208"/>
      <c r="RMW300" s="208"/>
      <c r="RMX300" s="208"/>
      <c r="RMY300" s="208"/>
      <c r="RMZ300" s="208"/>
      <c r="RNA300" s="208"/>
      <c r="RNB300" s="208"/>
      <c r="RNC300" s="208"/>
      <c r="RND300" s="208"/>
      <c r="RNE300" s="208"/>
      <c r="RNF300" s="208"/>
      <c r="RNG300" s="208"/>
      <c r="RNH300" s="208"/>
      <c r="RNI300" s="208"/>
      <c r="RNJ300" s="208"/>
      <c r="RNK300" s="208"/>
      <c r="RNL300" s="208"/>
      <c r="RNM300" s="208"/>
      <c r="RNN300" s="208"/>
      <c r="RNO300" s="208"/>
      <c r="RNP300" s="208"/>
      <c r="RNQ300" s="208"/>
      <c r="RNR300" s="208"/>
      <c r="RNS300" s="208"/>
      <c r="RNT300" s="208"/>
      <c r="RNU300" s="208"/>
      <c r="RNV300" s="208"/>
      <c r="RNW300" s="208"/>
      <c r="RNX300" s="208"/>
      <c r="RNY300" s="208"/>
      <c r="RNZ300" s="208"/>
      <c r="ROA300" s="208"/>
      <c r="ROB300" s="208"/>
      <c r="ROC300" s="208"/>
      <c r="ROD300" s="208"/>
      <c r="ROE300" s="208"/>
      <c r="ROF300" s="208"/>
      <c r="ROG300" s="208"/>
      <c r="ROH300" s="208"/>
      <c r="ROI300" s="208"/>
      <c r="ROJ300" s="208"/>
      <c r="ROK300" s="208"/>
      <c r="ROL300" s="208"/>
      <c r="ROM300" s="208"/>
      <c r="RON300" s="208"/>
      <c r="ROO300" s="208"/>
      <c r="ROP300" s="208"/>
      <c r="ROQ300" s="208"/>
      <c r="ROR300" s="208"/>
      <c r="ROS300" s="208"/>
      <c r="ROT300" s="208"/>
      <c r="ROU300" s="208"/>
      <c r="ROV300" s="208"/>
      <c r="ROW300" s="208"/>
      <c r="ROX300" s="208"/>
      <c r="ROY300" s="208"/>
      <c r="ROZ300" s="208"/>
      <c r="RPA300" s="208"/>
      <c r="RPB300" s="208"/>
      <c r="RPC300" s="208"/>
      <c r="RPD300" s="208"/>
      <c r="RPE300" s="208"/>
      <c r="RPF300" s="208"/>
      <c r="RPG300" s="208"/>
      <c r="RPH300" s="208"/>
      <c r="RPI300" s="208"/>
      <c r="RPJ300" s="208"/>
      <c r="RPK300" s="208"/>
      <c r="RPL300" s="208"/>
      <c r="RPM300" s="208"/>
      <c r="RPN300" s="208"/>
      <c r="RPO300" s="208"/>
      <c r="RPP300" s="208"/>
      <c r="RPQ300" s="208"/>
      <c r="RPR300" s="208"/>
      <c r="RPS300" s="208"/>
      <c r="RPT300" s="208"/>
      <c r="RPU300" s="208"/>
      <c r="RPV300" s="208"/>
      <c r="RPW300" s="208"/>
      <c r="RPX300" s="208"/>
      <c r="RPY300" s="208"/>
      <c r="RPZ300" s="208"/>
      <c r="RQA300" s="208"/>
      <c r="RQB300" s="208"/>
      <c r="RQC300" s="208"/>
      <c r="RQD300" s="208"/>
      <c r="RQE300" s="208"/>
      <c r="RQF300" s="208"/>
      <c r="RQG300" s="208"/>
      <c r="RQH300" s="208"/>
      <c r="RQI300" s="208"/>
      <c r="RQJ300" s="208"/>
      <c r="RQK300" s="208"/>
      <c r="RQL300" s="208"/>
      <c r="RQM300" s="208"/>
      <c r="RQN300" s="208"/>
      <c r="RQO300" s="208"/>
      <c r="RQP300" s="208"/>
      <c r="RQQ300" s="208"/>
      <c r="RQR300" s="208"/>
      <c r="RQS300" s="208"/>
      <c r="RQT300" s="208"/>
      <c r="RQU300" s="208"/>
      <c r="RQV300" s="208"/>
      <c r="RQW300" s="208"/>
      <c r="RQX300" s="208"/>
      <c r="RQY300" s="208"/>
      <c r="RQZ300" s="208"/>
      <c r="RRA300" s="208"/>
      <c r="RRB300" s="208"/>
      <c r="RRC300" s="208"/>
      <c r="RRD300" s="208"/>
      <c r="RRE300" s="208"/>
      <c r="RRF300" s="208"/>
      <c r="RRG300" s="208"/>
      <c r="RRH300" s="208"/>
      <c r="RRI300" s="208"/>
      <c r="RRJ300" s="208"/>
      <c r="RRK300" s="208"/>
      <c r="RRL300" s="208"/>
      <c r="RRM300" s="208"/>
      <c r="RRN300" s="208"/>
      <c r="RRO300" s="208"/>
      <c r="RRP300" s="208"/>
      <c r="RRQ300" s="208"/>
      <c r="RRR300" s="208"/>
      <c r="RRS300" s="208"/>
      <c r="RRT300" s="208"/>
      <c r="RRU300" s="208"/>
      <c r="RRV300" s="208"/>
      <c r="RRW300" s="208"/>
      <c r="RRX300" s="208"/>
      <c r="RRY300" s="208"/>
      <c r="RRZ300" s="208"/>
      <c r="RSA300" s="208"/>
      <c r="RSB300" s="208"/>
      <c r="RSC300" s="208"/>
      <c r="RSD300" s="208"/>
      <c r="RSE300" s="208"/>
      <c r="RSF300" s="208"/>
      <c r="RSG300" s="208"/>
      <c r="RSH300" s="208"/>
      <c r="RSI300" s="208"/>
      <c r="RSJ300" s="208"/>
      <c r="RSK300" s="208"/>
      <c r="RSL300" s="208"/>
      <c r="RSM300" s="208"/>
      <c r="RSN300" s="208"/>
      <c r="RSO300" s="208"/>
      <c r="RSP300" s="208"/>
      <c r="RSQ300" s="208"/>
      <c r="RSR300" s="208"/>
      <c r="RSS300" s="208"/>
      <c r="RST300" s="208"/>
      <c r="RSU300" s="208"/>
      <c r="RSV300" s="208"/>
      <c r="RSW300" s="208"/>
      <c r="RSX300" s="208"/>
      <c r="RSY300" s="208"/>
      <c r="RSZ300" s="208"/>
      <c r="RTA300" s="208"/>
      <c r="RTB300" s="208"/>
      <c r="RTC300" s="208"/>
      <c r="RTD300" s="208"/>
      <c r="RTE300" s="208"/>
      <c r="RTF300" s="208"/>
      <c r="RTG300" s="208"/>
      <c r="RTH300" s="208"/>
      <c r="RTI300" s="208"/>
      <c r="RTJ300" s="208"/>
      <c r="RTK300" s="208"/>
      <c r="RTL300" s="208"/>
      <c r="RTM300" s="208"/>
      <c r="RTN300" s="208"/>
      <c r="RTO300" s="208"/>
      <c r="RTP300" s="208"/>
      <c r="RTQ300" s="208"/>
      <c r="RTR300" s="208"/>
      <c r="RTS300" s="208"/>
      <c r="RTT300" s="208"/>
      <c r="RTU300" s="208"/>
      <c r="RTV300" s="208"/>
      <c r="RTW300" s="208"/>
      <c r="RTX300" s="208"/>
      <c r="RTY300" s="208"/>
      <c r="RTZ300" s="208"/>
      <c r="RUA300" s="208"/>
      <c r="RUB300" s="208"/>
      <c r="RUC300" s="208"/>
      <c r="RUD300" s="208"/>
      <c r="RUE300" s="208"/>
      <c r="RUF300" s="208"/>
      <c r="RUG300" s="208"/>
      <c r="RUH300" s="208"/>
      <c r="RUI300" s="208"/>
      <c r="RUJ300" s="208"/>
      <c r="RUK300" s="208"/>
      <c r="RUL300" s="208"/>
      <c r="RUM300" s="208"/>
      <c r="RUN300" s="208"/>
      <c r="RUO300" s="208"/>
      <c r="RUP300" s="208"/>
      <c r="RUQ300" s="208"/>
      <c r="RUR300" s="208"/>
      <c r="RUS300" s="208"/>
      <c r="RUT300" s="208"/>
      <c r="RUU300" s="208"/>
      <c r="RUV300" s="208"/>
      <c r="RUW300" s="208"/>
      <c r="RUX300" s="208"/>
      <c r="RUY300" s="208"/>
      <c r="RUZ300" s="208"/>
      <c r="RVA300" s="208"/>
      <c r="RVB300" s="208"/>
      <c r="RVC300" s="208"/>
      <c r="RVD300" s="208"/>
      <c r="RVE300" s="208"/>
      <c r="RVF300" s="208"/>
      <c r="RVG300" s="208"/>
      <c r="RVH300" s="208"/>
      <c r="RVI300" s="208"/>
      <c r="RVJ300" s="208"/>
      <c r="RVK300" s="208"/>
      <c r="RVL300" s="208"/>
      <c r="RVM300" s="208"/>
      <c r="RVN300" s="208"/>
      <c r="RVO300" s="208"/>
      <c r="RVP300" s="208"/>
      <c r="RVQ300" s="208"/>
      <c r="RVR300" s="208"/>
      <c r="RVS300" s="208"/>
      <c r="RVT300" s="208"/>
      <c r="RVU300" s="208"/>
      <c r="RVV300" s="208"/>
      <c r="RVW300" s="208"/>
      <c r="RVX300" s="208"/>
      <c r="RVY300" s="208"/>
      <c r="RVZ300" s="208"/>
      <c r="RWA300" s="208"/>
      <c r="RWB300" s="208"/>
      <c r="RWC300" s="208"/>
      <c r="RWD300" s="208"/>
      <c r="RWE300" s="208"/>
      <c r="RWF300" s="208"/>
      <c r="RWG300" s="208"/>
      <c r="RWH300" s="208"/>
      <c r="RWI300" s="208"/>
      <c r="RWJ300" s="208"/>
      <c r="RWK300" s="208"/>
      <c r="RWL300" s="208"/>
      <c r="RWM300" s="208"/>
      <c r="RWN300" s="208"/>
      <c r="RWO300" s="208"/>
      <c r="RWP300" s="208"/>
      <c r="RWQ300" s="208"/>
      <c r="RWR300" s="208"/>
      <c r="RWS300" s="208"/>
      <c r="RWT300" s="208"/>
      <c r="RWU300" s="208"/>
      <c r="RWV300" s="208"/>
      <c r="RWW300" s="208"/>
      <c r="RWX300" s="208"/>
      <c r="RWY300" s="208"/>
      <c r="RWZ300" s="208"/>
      <c r="RXA300" s="208"/>
      <c r="RXB300" s="208"/>
      <c r="RXC300" s="208"/>
      <c r="RXD300" s="208"/>
      <c r="RXE300" s="208"/>
      <c r="RXF300" s="208"/>
      <c r="RXG300" s="208"/>
      <c r="RXH300" s="208"/>
      <c r="RXI300" s="208"/>
      <c r="RXJ300" s="208"/>
      <c r="RXK300" s="208"/>
      <c r="RXL300" s="208"/>
      <c r="RXM300" s="208"/>
      <c r="RXN300" s="208"/>
      <c r="RXO300" s="208"/>
      <c r="RXP300" s="208"/>
      <c r="RXQ300" s="208"/>
      <c r="RXR300" s="208"/>
      <c r="RXS300" s="208"/>
      <c r="RXT300" s="208"/>
      <c r="RXU300" s="208"/>
      <c r="RXV300" s="208"/>
      <c r="RXW300" s="208"/>
      <c r="RXX300" s="208"/>
      <c r="RXY300" s="208"/>
      <c r="RXZ300" s="208"/>
      <c r="RYA300" s="208"/>
      <c r="RYB300" s="208"/>
      <c r="RYC300" s="208"/>
      <c r="RYD300" s="208"/>
      <c r="RYE300" s="208"/>
      <c r="RYF300" s="208"/>
      <c r="RYG300" s="208"/>
      <c r="RYH300" s="208"/>
      <c r="RYI300" s="208"/>
      <c r="RYJ300" s="208"/>
      <c r="RYK300" s="208"/>
      <c r="RYL300" s="208"/>
      <c r="RYM300" s="208"/>
      <c r="RYN300" s="208"/>
      <c r="RYO300" s="208"/>
      <c r="RYP300" s="208"/>
      <c r="RYQ300" s="208"/>
      <c r="RYR300" s="208"/>
      <c r="RYS300" s="208"/>
      <c r="RYT300" s="208"/>
      <c r="RYU300" s="208"/>
      <c r="RYV300" s="208"/>
      <c r="RYW300" s="208"/>
      <c r="RYX300" s="208"/>
      <c r="RYY300" s="208"/>
      <c r="RYZ300" s="208"/>
      <c r="RZA300" s="208"/>
      <c r="RZB300" s="208"/>
      <c r="RZC300" s="208"/>
      <c r="RZD300" s="208"/>
      <c r="RZE300" s="208"/>
      <c r="RZF300" s="208"/>
      <c r="RZG300" s="208"/>
      <c r="RZH300" s="208"/>
      <c r="RZI300" s="208"/>
      <c r="RZJ300" s="208"/>
      <c r="RZK300" s="208"/>
      <c r="RZL300" s="208"/>
      <c r="RZM300" s="208"/>
      <c r="RZN300" s="208"/>
      <c r="RZO300" s="208"/>
      <c r="RZP300" s="208"/>
      <c r="RZQ300" s="208"/>
      <c r="RZR300" s="208"/>
      <c r="RZS300" s="208"/>
      <c r="RZT300" s="208"/>
      <c r="RZU300" s="208"/>
      <c r="RZV300" s="208"/>
      <c r="RZW300" s="208"/>
      <c r="RZX300" s="208"/>
      <c r="RZY300" s="208"/>
      <c r="RZZ300" s="208"/>
      <c r="SAA300" s="208"/>
      <c r="SAB300" s="208"/>
      <c r="SAC300" s="208"/>
      <c r="SAD300" s="208"/>
      <c r="SAE300" s="208"/>
      <c r="SAF300" s="208"/>
      <c r="SAG300" s="208"/>
      <c r="SAH300" s="208"/>
      <c r="SAI300" s="208"/>
      <c r="SAJ300" s="208"/>
      <c r="SAK300" s="208"/>
      <c r="SAL300" s="208"/>
      <c r="SAM300" s="208"/>
      <c r="SAN300" s="208"/>
      <c r="SAO300" s="208"/>
      <c r="SAP300" s="208"/>
      <c r="SAQ300" s="208"/>
      <c r="SAR300" s="208"/>
      <c r="SAS300" s="208"/>
      <c r="SAT300" s="208"/>
      <c r="SAU300" s="208"/>
      <c r="SAV300" s="208"/>
      <c r="SAW300" s="208"/>
      <c r="SAX300" s="208"/>
      <c r="SAY300" s="208"/>
      <c r="SAZ300" s="208"/>
      <c r="SBA300" s="208"/>
      <c r="SBB300" s="208"/>
      <c r="SBC300" s="208"/>
      <c r="SBD300" s="208"/>
      <c r="SBE300" s="208"/>
      <c r="SBF300" s="208"/>
      <c r="SBG300" s="208"/>
      <c r="SBH300" s="208"/>
      <c r="SBI300" s="208"/>
      <c r="SBJ300" s="208"/>
      <c r="SBK300" s="208"/>
      <c r="SBL300" s="208"/>
      <c r="SBM300" s="208"/>
      <c r="SBN300" s="208"/>
      <c r="SBO300" s="208"/>
      <c r="SBP300" s="208"/>
      <c r="SBQ300" s="208"/>
      <c r="SBR300" s="208"/>
      <c r="SBS300" s="208"/>
      <c r="SBT300" s="208"/>
      <c r="SBU300" s="208"/>
      <c r="SBV300" s="208"/>
      <c r="SBW300" s="208"/>
      <c r="SBX300" s="208"/>
      <c r="SBY300" s="208"/>
      <c r="SBZ300" s="208"/>
      <c r="SCA300" s="208"/>
      <c r="SCB300" s="208"/>
      <c r="SCC300" s="208"/>
      <c r="SCD300" s="208"/>
      <c r="SCE300" s="208"/>
      <c r="SCF300" s="208"/>
      <c r="SCG300" s="208"/>
      <c r="SCH300" s="208"/>
      <c r="SCI300" s="208"/>
      <c r="SCJ300" s="208"/>
      <c r="SCK300" s="208"/>
      <c r="SCL300" s="208"/>
      <c r="SCM300" s="208"/>
      <c r="SCN300" s="208"/>
      <c r="SCO300" s="208"/>
      <c r="SCP300" s="208"/>
      <c r="SCQ300" s="208"/>
      <c r="SCR300" s="208"/>
      <c r="SCS300" s="208"/>
      <c r="SCT300" s="208"/>
      <c r="SCU300" s="208"/>
      <c r="SCV300" s="208"/>
      <c r="SCW300" s="208"/>
      <c r="SCX300" s="208"/>
      <c r="SCY300" s="208"/>
      <c r="SCZ300" s="208"/>
      <c r="SDA300" s="208"/>
      <c r="SDB300" s="208"/>
      <c r="SDC300" s="208"/>
      <c r="SDD300" s="208"/>
      <c r="SDE300" s="208"/>
      <c r="SDF300" s="208"/>
      <c r="SDG300" s="208"/>
      <c r="SDH300" s="208"/>
      <c r="SDI300" s="208"/>
      <c r="SDJ300" s="208"/>
      <c r="SDK300" s="208"/>
      <c r="SDL300" s="208"/>
      <c r="SDM300" s="208"/>
      <c r="SDN300" s="208"/>
      <c r="SDO300" s="208"/>
      <c r="SDP300" s="208"/>
      <c r="SDQ300" s="208"/>
      <c r="SDR300" s="208"/>
      <c r="SDS300" s="208"/>
      <c r="SDT300" s="208"/>
      <c r="SDU300" s="208"/>
      <c r="SDV300" s="208"/>
      <c r="SDW300" s="208"/>
      <c r="SDX300" s="208"/>
      <c r="SDY300" s="208"/>
      <c r="SDZ300" s="208"/>
      <c r="SEA300" s="208"/>
      <c r="SEB300" s="208"/>
      <c r="SEC300" s="208"/>
      <c r="SED300" s="208"/>
      <c r="SEE300" s="208"/>
      <c r="SEF300" s="208"/>
      <c r="SEG300" s="208"/>
      <c r="SEH300" s="208"/>
      <c r="SEI300" s="208"/>
      <c r="SEJ300" s="208"/>
      <c r="SEK300" s="208"/>
      <c r="SEL300" s="208"/>
      <c r="SEM300" s="208"/>
      <c r="SEN300" s="208"/>
      <c r="SEO300" s="208"/>
      <c r="SEP300" s="208"/>
      <c r="SEQ300" s="208"/>
      <c r="SER300" s="208"/>
      <c r="SES300" s="208"/>
      <c r="SET300" s="208"/>
      <c r="SEU300" s="208"/>
      <c r="SEV300" s="208"/>
      <c r="SEW300" s="208"/>
      <c r="SEX300" s="208"/>
      <c r="SEY300" s="208"/>
      <c r="SEZ300" s="208"/>
      <c r="SFA300" s="208"/>
      <c r="SFB300" s="208"/>
      <c r="SFC300" s="208"/>
      <c r="SFD300" s="208"/>
      <c r="SFE300" s="208"/>
      <c r="SFF300" s="208"/>
      <c r="SFG300" s="208"/>
      <c r="SFH300" s="208"/>
      <c r="SFI300" s="208"/>
      <c r="SFJ300" s="208"/>
      <c r="SFK300" s="208"/>
      <c r="SFL300" s="208"/>
      <c r="SFM300" s="208"/>
      <c r="SFN300" s="208"/>
      <c r="SFO300" s="208"/>
      <c r="SFP300" s="208"/>
      <c r="SFQ300" s="208"/>
      <c r="SFR300" s="208"/>
      <c r="SFS300" s="208"/>
      <c r="SFT300" s="208"/>
      <c r="SFU300" s="208"/>
      <c r="SFV300" s="208"/>
      <c r="SFW300" s="208"/>
      <c r="SFX300" s="208"/>
      <c r="SFY300" s="208"/>
      <c r="SFZ300" s="208"/>
      <c r="SGA300" s="208"/>
      <c r="SGB300" s="208"/>
      <c r="SGC300" s="208"/>
      <c r="SGD300" s="208"/>
      <c r="SGE300" s="208"/>
      <c r="SGF300" s="208"/>
      <c r="SGG300" s="208"/>
      <c r="SGH300" s="208"/>
      <c r="SGI300" s="208"/>
      <c r="SGJ300" s="208"/>
      <c r="SGK300" s="208"/>
      <c r="SGL300" s="208"/>
      <c r="SGM300" s="208"/>
      <c r="SGN300" s="208"/>
      <c r="SGO300" s="208"/>
      <c r="SGP300" s="208"/>
      <c r="SGQ300" s="208"/>
      <c r="SGR300" s="208"/>
      <c r="SGS300" s="208"/>
      <c r="SGT300" s="208"/>
      <c r="SGU300" s="208"/>
      <c r="SGV300" s="208"/>
      <c r="SGW300" s="208"/>
      <c r="SGX300" s="208"/>
      <c r="SGY300" s="208"/>
      <c r="SGZ300" s="208"/>
      <c r="SHA300" s="208"/>
      <c r="SHB300" s="208"/>
      <c r="SHC300" s="208"/>
      <c r="SHD300" s="208"/>
      <c r="SHE300" s="208"/>
      <c r="SHF300" s="208"/>
      <c r="SHG300" s="208"/>
      <c r="SHH300" s="208"/>
      <c r="SHI300" s="208"/>
      <c r="SHJ300" s="208"/>
      <c r="SHK300" s="208"/>
      <c r="SHL300" s="208"/>
      <c r="SHM300" s="208"/>
      <c r="SHN300" s="208"/>
      <c r="SHO300" s="208"/>
      <c r="SHP300" s="208"/>
      <c r="SHQ300" s="208"/>
      <c r="SHR300" s="208"/>
      <c r="SHS300" s="208"/>
      <c r="SHT300" s="208"/>
      <c r="SHU300" s="208"/>
      <c r="SHV300" s="208"/>
      <c r="SHW300" s="208"/>
      <c r="SHX300" s="208"/>
      <c r="SHY300" s="208"/>
      <c r="SHZ300" s="208"/>
      <c r="SIA300" s="208"/>
      <c r="SIB300" s="208"/>
      <c r="SIC300" s="208"/>
      <c r="SID300" s="208"/>
      <c r="SIE300" s="208"/>
      <c r="SIF300" s="208"/>
      <c r="SIG300" s="208"/>
      <c r="SIH300" s="208"/>
      <c r="SII300" s="208"/>
      <c r="SIJ300" s="208"/>
      <c r="SIK300" s="208"/>
      <c r="SIL300" s="208"/>
      <c r="SIM300" s="208"/>
      <c r="SIN300" s="208"/>
      <c r="SIO300" s="208"/>
      <c r="SIP300" s="208"/>
      <c r="SIQ300" s="208"/>
      <c r="SIR300" s="208"/>
      <c r="SIS300" s="208"/>
      <c r="SIT300" s="208"/>
      <c r="SIU300" s="208"/>
      <c r="SIV300" s="208"/>
      <c r="SIW300" s="208"/>
      <c r="SIX300" s="208"/>
      <c r="SIY300" s="208"/>
      <c r="SIZ300" s="208"/>
      <c r="SJA300" s="208"/>
      <c r="SJB300" s="208"/>
      <c r="SJC300" s="208"/>
      <c r="SJD300" s="208"/>
      <c r="SJE300" s="208"/>
      <c r="SJF300" s="208"/>
      <c r="SJG300" s="208"/>
      <c r="SJH300" s="208"/>
      <c r="SJI300" s="208"/>
      <c r="SJJ300" s="208"/>
      <c r="SJK300" s="208"/>
      <c r="SJL300" s="208"/>
      <c r="SJM300" s="208"/>
      <c r="SJN300" s="208"/>
      <c r="SJO300" s="208"/>
      <c r="SJP300" s="208"/>
      <c r="SJQ300" s="208"/>
      <c r="SJR300" s="208"/>
      <c r="SJS300" s="208"/>
      <c r="SJT300" s="208"/>
      <c r="SJU300" s="208"/>
      <c r="SJV300" s="208"/>
      <c r="SJW300" s="208"/>
      <c r="SJX300" s="208"/>
      <c r="SJY300" s="208"/>
      <c r="SJZ300" s="208"/>
      <c r="SKA300" s="208"/>
      <c r="SKB300" s="208"/>
      <c r="SKC300" s="208"/>
      <c r="SKD300" s="208"/>
      <c r="SKE300" s="208"/>
      <c r="SKF300" s="208"/>
      <c r="SKG300" s="208"/>
      <c r="SKH300" s="208"/>
      <c r="SKI300" s="208"/>
      <c r="SKJ300" s="208"/>
      <c r="SKK300" s="208"/>
      <c r="SKL300" s="208"/>
      <c r="SKM300" s="208"/>
      <c r="SKN300" s="208"/>
      <c r="SKO300" s="208"/>
      <c r="SKP300" s="208"/>
      <c r="SKQ300" s="208"/>
      <c r="SKR300" s="208"/>
      <c r="SKS300" s="208"/>
      <c r="SKT300" s="208"/>
      <c r="SKU300" s="208"/>
      <c r="SKV300" s="208"/>
      <c r="SKW300" s="208"/>
      <c r="SKX300" s="208"/>
      <c r="SKY300" s="208"/>
      <c r="SKZ300" s="208"/>
      <c r="SLA300" s="208"/>
      <c r="SLB300" s="208"/>
      <c r="SLC300" s="208"/>
      <c r="SLD300" s="208"/>
      <c r="SLE300" s="208"/>
      <c r="SLF300" s="208"/>
      <c r="SLG300" s="208"/>
      <c r="SLH300" s="208"/>
      <c r="SLI300" s="208"/>
      <c r="SLJ300" s="208"/>
      <c r="SLK300" s="208"/>
      <c r="SLL300" s="208"/>
      <c r="SLM300" s="208"/>
      <c r="SLN300" s="208"/>
      <c r="SLO300" s="208"/>
      <c r="SLP300" s="208"/>
      <c r="SLQ300" s="208"/>
      <c r="SLR300" s="208"/>
      <c r="SLS300" s="208"/>
      <c r="SLT300" s="208"/>
      <c r="SLU300" s="208"/>
      <c r="SLV300" s="208"/>
      <c r="SLW300" s="208"/>
      <c r="SLX300" s="208"/>
      <c r="SLY300" s="208"/>
      <c r="SLZ300" s="208"/>
      <c r="SMA300" s="208"/>
      <c r="SMB300" s="208"/>
      <c r="SMC300" s="208"/>
      <c r="SMD300" s="208"/>
      <c r="SME300" s="208"/>
      <c r="SMF300" s="208"/>
      <c r="SMG300" s="208"/>
      <c r="SMH300" s="208"/>
      <c r="SMI300" s="208"/>
      <c r="SMJ300" s="208"/>
      <c r="SMK300" s="208"/>
      <c r="SML300" s="208"/>
      <c r="SMM300" s="208"/>
      <c r="SMN300" s="208"/>
      <c r="SMO300" s="208"/>
      <c r="SMP300" s="208"/>
      <c r="SMQ300" s="208"/>
      <c r="SMR300" s="208"/>
      <c r="SMS300" s="208"/>
      <c r="SMT300" s="208"/>
      <c r="SMU300" s="208"/>
      <c r="SMV300" s="208"/>
      <c r="SMW300" s="208"/>
      <c r="SMX300" s="208"/>
      <c r="SMY300" s="208"/>
      <c r="SMZ300" s="208"/>
      <c r="SNA300" s="208"/>
      <c r="SNB300" s="208"/>
      <c r="SNC300" s="208"/>
      <c r="SND300" s="208"/>
      <c r="SNE300" s="208"/>
      <c r="SNF300" s="208"/>
      <c r="SNG300" s="208"/>
      <c r="SNH300" s="208"/>
      <c r="SNI300" s="208"/>
      <c r="SNJ300" s="208"/>
      <c r="SNK300" s="208"/>
      <c r="SNL300" s="208"/>
      <c r="SNM300" s="208"/>
      <c r="SNN300" s="208"/>
      <c r="SNO300" s="208"/>
      <c r="SNP300" s="208"/>
      <c r="SNQ300" s="208"/>
      <c r="SNR300" s="208"/>
      <c r="SNS300" s="208"/>
      <c r="SNT300" s="208"/>
      <c r="SNU300" s="208"/>
      <c r="SNV300" s="208"/>
      <c r="SNW300" s="208"/>
      <c r="SNX300" s="208"/>
      <c r="SNY300" s="208"/>
      <c r="SNZ300" s="208"/>
      <c r="SOA300" s="208"/>
      <c r="SOB300" s="208"/>
      <c r="SOC300" s="208"/>
      <c r="SOD300" s="208"/>
      <c r="SOE300" s="208"/>
      <c r="SOF300" s="208"/>
      <c r="SOG300" s="208"/>
      <c r="SOH300" s="208"/>
      <c r="SOI300" s="208"/>
      <c r="SOJ300" s="208"/>
      <c r="SOK300" s="208"/>
      <c r="SOL300" s="208"/>
      <c r="SOM300" s="208"/>
      <c r="SON300" s="208"/>
      <c r="SOO300" s="208"/>
      <c r="SOP300" s="208"/>
      <c r="SOQ300" s="208"/>
      <c r="SOR300" s="208"/>
      <c r="SOS300" s="208"/>
      <c r="SOT300" s="208"/>
      <c r="SOU300" s="208"/>
      <c r="SOV300" s="208"/>
      <c r="SOW300" s="208"/>
      <c r="SOX300" s="208"/>
      <c r="SOY300" s="208"/>
      <c r="SOZ300" s="208"/>
      <c r="SPA300" s="208"/>
      <c r="SPB300" s="208"/>
      <c r="SPC300" s="208"/>
      <c r="SPD300" s="208"/>
      <c r="SPE300" s="208"/>
      <c r="SPF300" s="208"/>
      <c r="SPG300" s="208"/>
      <c r="SPH300" s="208"/>
      <c r="SPI300" s="208"/>
      <c r="SPJ300" s="208"/>
      <c r="SPK300" s="208"/>
      <c r="SPL300" s="208"/>
      <c r="SPM300" s="208"/>
      <c r="SPN300" s="208"/>
      <c r="SPO300" s="208"/>
      <c r="SPP300" s="208"/>
      <c r="SPQ300" s="208"/>
      <c r="SPR300" s="208"/>
      <c r="SPS300" s="208"/>
      <c r="SPT300" s="208"/>
      <c r="SPU300" s="208"/>
      <c r="SPV300" s="208"/>
      <c r="SPW300" s="208"/>
      <c r="SPX300" s="208"/>
      <c r="SPY300" s="208"/>
      <c r="SPZ300" s="208"/>
      <c r="SQA300" s="208"/>
      <c r="SQB300" s="208"/>
      <c r="SQC300" s="208"/>
      <c r="SQD300" s="208"/>
      <c r="SQE300" s="208"/>
      <c r="SQF300" s="208"/>
      <c r="SQG300" s="208"/>
      <c r="SQH300" s="208"/>
      <c r="SQI300" s="208"/>
      <c r="SQJ300" s="208"/>
      <c r="SQK300" s="208"/>
      <c r="SQL300" s="208"/>
      <c r="SQM300" s="208"/>
      <c r="SQN300" s="208"/>
      <c r="SQO300" s="208"/>
      <c r="SQP300" s="208"/>
      <c r="SQQ300" s="208"/>
      <c r="SQR300" s="208"/>
      <c r="SQS300" s="208"/>
      <c r="SQT300" s="208"/>
      <c r="SQU300" s="208"/>
      <c r="SQV300" s="208"/>
      <c r="SQW300" s="208"/>
      <c r="SQX300" s="208"/>
      <c r="SQY300" s="208"/>
      <c r="SQZ300" s="208"/>
      <c r="SRA300" s="208"/>
      <c r="SRB300" s="208"/>
      <c r="SRC300" s="208"/>
      <c r="SRD300" s="208"/>
      <c r="SRE300" s="208"/>
      <c r="SRF300" s="208"/>
      <c r="SRG300" s="208"/>
      <c r="SRH300" s="208"/>
      <c r="SRI300" s="208"/>
      <c r="SRJ300" s="208"/>
      <c r="SRK300" s="208"/>
      <c r="SRL300" s="208"/>
      <c r="SRM300" s="208"/>
      <c r="SRN300" s="208"/>
      <c r="SRO300" s="208"/>
      <c r="SRP300" s="208"/>
      <c r="SRQ300" s="208"/>
      <c r="SRR300" s="208"/>
      <c r="SRS300" s="208"/>
      <c r="SRT300" s="208"/>
      <c r="SRU300" s="208"/>
      <c r="SRV300" s="208"/>
      <c r="SRW300" s="208"/>
      <c r="SRX300" s="208"/>
      <c r="SRY300" s="208"/>
      <c r="SRZ300" s="208"/>
      <c r="SSA300" s="208"/>
      <c r="SSB300" s="208"/>
      <c r="SSC300" s="208"/>
      <c r="SSD300" s="208"/>
      <c r="SSE300" s="208"/>
      <c r="SSF300" s="208"/>
      <c r="SSG300" s="208"/>
      <c r="SSH300" s="208"/>
      <c r="SSI300" s="208"/>
      <c r="SSJ300" s="208"/>
      <c r="SSK300" s="208"/>
      <c r="SSL300" s="208"/>
      <c r="SSM300" s="208"/>
      <c r="SSN300" s="208"/>
      <c r="SSO300" s="208"/>
      <c r="SSP300" s="208"/>
      <c r="SSQ300" s="208"/>
      <c r="SSR300" s="208"/>
      <c r="SSS300" s="208"/>
      <c r="SST300" s="208"/>
      <c r="SSU300" s="208"/>
      <c r="SSV300" s="208"/>
      <c r="SSW300" s="208"/>
      <c r="SSX300" s="208"/>
      <c r="SSY300" s="208"/>
      <c r="SSZ300" s="208"/>
      <c r="STA300" s="208"/>
      <c r="STB300" s="208"/>
      <c r="STC300" s="208"/>
      <c r="STD300" s="208"/>
      <c r="STE300" s="208"/>
      <c r="STF300" s="208"/>
      <c r="STG300" s="208"/>
      <c r="STH300" s="208"/>
      <c r="STI300" s="208"/>
      <c r="STJ300" s="208"/>
      <c r="STK300" s="208"/>
      <c r="STL300" s="208"/>
      <c r="STM300" s="208"/>
      <c r="STN300" s="208"/>
      <c r="STO300" s="208"/>
      <c r="STP300" s="208"/>
      <c r="STQ300" s="208"/>
      <c r="STR300" s="208"/>
      <c r="STS300" s="208"/>
      <c r="STT300" s="208"/>
      <c r="STU300" s="208"/>
      <c r="STV300" s="208"/>
      <c r="STW300" s="208"/>
      <c r="STX300" s="208"/>
      <c r="STY300" s="208"/>
      <c r="STZ300" s="208"/>
      <c r="SUA300" s="208"/>
      <c r="SUB300" s="208"/>
      <c r="SUC300" s="208"/>
      <c r="SUD300" s="208"/>
      <c r="SUE300" s="208"/>
      <c r="SUF300" s="208"/>
      <c r="SUG300" s="208"/>
      <c r="SUH300" s="208"/>
      <c r="SUI300" s="208"/>
      <c r="SUJ300" s="208"/>
      <c r="SUK300" s="208"/>
      <c r="SUL300" s="208"/>
      <c r="SUM300" s="208"/>
      <c r="SUN300" s="208"/>
      <c r="SUO300" s="208"/>
      <c r="SUP300" s="208"/>
      <c r="SUQ300" s="208"/>
      <c r="SUR300" s="208"/>
      <c r="SUS300" s="208"/>
      <c r="SUT300" s="208"/>
      <c r="SUU300" s="208"/>
      <c r="SUV300" s="208"/>
      <c r="SUW300" s="208"/>
      <c r="SUX300" s="208"/>
      <c r="SUY300" s="208"/>
      <c r="SUZ300" s="208"/>
      <c r="SVA300" s="208"/>
      <c r="SVB300" s="208"/>
      <c r="SVC300" s="208"/>
      <c r="SVD300" s="208"/>
      <c r="SVE300" s="208"/>
      <c r="SVF300" s="208"/>
      <c r="SVG300" s="208"/>
      <c r="SVH300" s="208"/>
      <c r="SVI300" s="208"/>
      <c r="SVJ300" s="208"/>
      <c r="SVK300" s="208"/>
      <c r="SVL300" s="208"/>
      <c r="SVM300" s="208"/>
      <c r="SVN300" s="208"/>
      <c r="SVO300" s="208"/>
      <c r="SVP300" s="208"/>
      <c r="SVQ300" s="208"/>
      <c r="SVR300" s="208"/>
      <c r="SVS300" s="208"/>
      <c r="SVT300" s="208"/>
      <c r="SVU300" s="208"/>
      <c r="SVV300" s="208"/>
      <c r="SVW300" s="208"/>
      <c r="SVX300" s="208"/>
      <c r="SVY300" s="208"/>
      <c r="SVZ300" s="208"/>
      <c r="SWA300" s="208"/>
      <c r="SWB300" s="208"/>
      <c r="SWC300" s="208"/>
      <c r="SWD300" s="208"/>
      <c r="SWE300" s="208"/>
      <c r="SWF300" s="208"/>
      <c r="SWG300" s="208"/>
      <c r="SWH300" s="208"/>
      <c r="SWI300" s="208"/>
      <c r="SWJ300" s="208"/>
      <c r="SWK300" s="208"/>
      <c r="SWL300" s="208"/>
      <c r="SWM300" s="208"/>
      <c r="SWN300" s="208"/>
      <c r="SWO300" s="208"/>
      <c r="SWP300" s="208"/>
      <c r="SWQ300" s="208"/>
      <c r="SWR300" s="208"/>
      <c r="SWS300" s="208"/>
      <c r="SWT300" s="208"/>
      <c r="SWU300" s="208"/>
      <c r="SWV300" s="208"/>
      <c r="SWW300" s="208"/>
      <c r="SWX300" s="208"/>
      <c r="SWY300" s="208"/>
      <c r="SWZ300" s="208"/>
      <c r="SXA300" s="208"/>
      <c r="SXB300" s="208"/>
      <c r="SXC300" s="208"/>
      <c r="SXD300" s="208"/>
      <c r="SXE300" s="208"/>
      <c r="SXF300" s="208"/>
      <c r="SXG300" s="208"/>
      <c r="SXH300" s="208"/>
      <c r="SXI300" s="208"/>
      <c r="SXJ300" s="208"/>
      <c r="SXK300" s="208"/>
      <c r="SXL300" s="208"/>
      <c r="SXM300" s="208"/>
      <c r="SXN300" s="208"/>
      <c r="SXO300" s="208"/>
      <c r="SXP300" s="208"/>
      <c r="SXQ300" s="208"/>
      <c r="SXR300" s="208"/>
      <c r="SXS300" s="208"/>
      <c r="SXT300" s="208"/>
      <c r="SXU300" s="208"/>
      <c r="SXV300" s="208"/>
      <c r="SXW300" s="208"/>
      <c r="SXX300" s="208"/>
      <c r="SXY300" s="208"/>
      <c r="SXZ300" s="208"/>
      <c r="SYA300" s="208"/>
      <c r="SYB300" s="208"/>
      <c r="SYC300" s="208"/>
      <c r="SYD300" s="208"/>
      <c r="SYE300" s="208"/>
      <c r="SYF300" s="208"/>
      <c r="SYG300" s="208"/>
      <c r="SYH300" s="208"/>
      <c r="SYI300" s="208"/>
      <c r="SYJ300" s="208"/>
      <c r="SYK300" s="208"/>
      <c r="SYL300" s="208"/>
      <c r="SYM300" s="208"/>
      <c r="SYN300" s="208"/>
      <c r="SYO300" s="208"/>
      <c r="SYP300" s="208"/>
      <c r="SYQ300" s="208"/>
      <c r="SYR300" s="208"/>
      <c r="SYS300" s="208"/>
      <c r="SYT300" s="208"/>
      <c r="SYU300" s="208"/>
      <c r="SYV300" s="208"/>
      <c r="SYW300" s="208"/>
      <c r="SYX300" s="208"/>
      <c r="SYY300" s="208"/>
      <c r="SYZ300" s="208"/>
      <c r="SZA300" s="208"/>
      <c r="SZB300" s="208"/>
      <c r="SZC300" s="208"/>
      <c r="SZD300" s="208"/>
      <c r="SZE300" s="208"/>
      <c r="SZF300" s="208"/>
      <c r="SZG300" s="208"/>
      <c r="SZH300" s="208"/>
      <c r="SZI300" s="208"/>
      <c r="SZJ300" s="208"/>
      <c r="SZK300" s="208"/>
      <c r="SZL300" s="208"/>
      <c r="SZM300" s="208"/>
      <c r="SZN300" s="208"/>
      <c r="SZO300" s="208"/>
      <c r="SZP300" s="208"/>
      <c r="SZQ300" s="208"/>
      <c r="SZR300" s="208"/>
      <c r="SZS300" s="208"/>
      <c r="SZT300" s="208"/>
      <c r="SZU300" s="208"/>
      <c r="SZV300" s="208"/>
      <c r="SZW300" s="208"/>
      <c r="SZX300" s="208"/>
      <c r="SZY300" s="208"/>
      <c r="SZZ300" s="208"/>
      <c r="TAA300" s="208"/>
      <c r="TAB300" s="208"/>
      <c r="TAC300" s="208"/>
      <c r="TAD300" s="208"/>
      <c r="TAE300" s="208"/>
      <c r="TAF300" s="208"/>
      <c r="TAG300" s="208"/>
      <c r="TAH300" s="208"/>
      <c r="TAI300" s="208"/>
      <c r="TAJ300" s="208"/>
      <c r="TAK300" s="208"/>
      <c r="TAL300" s="208"/>
      <c r="TAM300" s="208"/>
      <c r="TAN300" s="208"/>
      <c r="TAO300" s="208"/>
      <c r="TAP300" s="208"/>
      <c r="TAQ300" s="208"/>
      <c r="TAR300" s="208"/>
      <c r="TAS300" s="208"/>
      <c r="TAT300" s="208"/>
      <c r="TAU300" s="208"/>
      <c r="TAV300" s="208"/>
      <c r="TAW300" s="208"/>
      <c r="TAX300" s="208"/>
      <c r="TAY300" s="208"/>
      <c r="TAZ300" s="208"/>
      <c r="TBA300" s="208"/>
      <c r="TBB300" s="208"/>
      <c r="TBC300" s="208"/>
      <c r="TBD300" s="208"/>
      <c r="TBE300" s="208"/>
      <c r="TBF300" s="208"/>
      <c r="TBG300" s="208"/>
      <c r="TBH300" s="208"/>
      <c r="TBI300" s="208"/>
      <c r="TBJ300" s="208"/>
      <c r="TBK300" s="208"/>
      <c r="TBL300" s="208"/>
      <c r="TBM300" s="208"/>
      <c r="TBN300" s="208"/>
      <c r="TBO300" s="208"/>
      <c r="TBP300" s="208"/>
      <c r="TBQ300" s="208"/>
      <c r="TBR300" s="208"/>
      <c r="TBS300" s="208"/>
      <c r="TBT300" s="208"/>
      <c r="TBU300" s="208"/>
      <c r="TBV300" s="208"/>
      <c r="TBW300" s="208"/>
      <c r="TBX300" s="208"/>
      <c r="TBY300" s="208"/>
      <c r="TBZ300" s="208"/>
      <c r="TCA300" s="208"/>
      <c r="TCB300" s="208"/>
      <c r="TCC300" s="208"/>
      <c r="TCD300" s="208"/>
      <c r="TCE300" s="208"/>
      <c r="TCF300" s="208"/>
      <c r="TCG300" s="208"/>
      <c r="TCH300" s="208"/>
      <c r="TCI300" s="208"/>
      <c r="TCJ300" s="208"/>
      <c r="TCK300" s="208"/>
      <c r="TCL300" s="208"/>
      <c r="TCM300" s="208"/>
      <c r="TCN300" s="208"/>
      <c r="TCO300" s="208"/>
      <c r="TCP300" s="208"/>
      <c r="TCQ300" s="208"/>
      <c r="TCR300" s="208"/>
      <c r="TCS300" s="208"/>
      <c r="TCT300" s="208"/>
      <c r="TCU300" s="208"/>
      <c r="TCV300" s="208"/>
      <c r="TCW300" s="208"/>
      <c r="TCX300" s="208"/>
      <c r="TCY300" s="208"/>
      <c r="TCZ300" s="208"/>
      <c r="TDA300" s="208"/>
      <c r="TDB300" s="208"/>
      <c r="TDC300" s="208"/>
      <c r="TDD300" s="208"/>
      <c r="TDE300" s="208"/>
      <c r="TDF300" s="208"/>
      <c r="TDG300" s="208"/>
      <c r="TDH300" s="208"/>
      <c r="TDI300" s="208"/>
      <c r="TDJ300" s="208"/>
      <c r="TDK300" s="208"/>
      <c r="TDL300" s="208"/>
      <c r="TDM300" s="208"/>
      <c r="TDN300" s="208"/>
      <c r="TDO300" s="208"/>
      <c r="TDP300" s="208"/>
      <c r="TDQ300" s="208"/>
      <c r="TDR300" s="208"/>
      <c r="TDS300" s="208"/>
      <c r="TDT300" s="208"/>
      <c r="TDU300" s="208"/>
      <c r="TDV300" s="208"/>
      <c r="TDW300" s="208"/>
      <c r="TDX300" s="208"/>
      <c r="TDY300" s="208"/>
      <c r="TDZ300" s="208"/>
      <c r="TEA300" s="208"/>
      <c r="TEB300" s="208"/>
      <c r="TEC300" s="208"/>
      <c r="TED300" s="208"/>
      <c r="TEE300" s="208"/>
      <c r="TEF300" s="208"/>
      <c r="TEG300" s="208"/>
      <c r="TEH300" s="208"/>
      <c r="TEI300" s="208"/>
      <c r="TEJ300" s="208"/>
      <c r="TEK300" s="208"/>
      <c r="TEL300" s="208"/>
      <c r="TEM300" s="208"/>
      <c r="TEN300" s="208"/>
      <c r="TEO300" s="208"/>
      <c r="TEP300" s="208"/>
      <c r="TEQ300" s="208"/>
      <c r="TER300" s="208"/>
      <c r="TES300" s="208"/>
      <c r="TET300" s="208"/>
      <c r="TEU300" s="208"/>
      <c r="TEV300" s="208"/>
      <c r="TEW300" s="208"/>
      <c r="TEX300" s="208"/>
      <c r="TEY300" s="208"/>
      <c r="TEZ300" s="208"/>
      <c r="TFA300" s="208"/>
      <c r="TFB300" s="208"/>
      <c r="TFC300" s="208"/>
      <c r="TFD300" s="208"/>
      <c r="TFE300" s="208"/>
      <c r="TFF300" s="208"/>
      <c r="TFG300" s="208"/>
      <c r="TFH300" s="208"/>
      <c r="TFI300" s="208"/>
      <c r="TFJ300" s="208"/>
      <c r="TFK300" s="208"/>
      <c r="TFL300" s="208"/>
      <c r="TFM300" s="208"/>
      <c r="TFN300" s="208"/>
      <c r="TFO300" s="208"/>
      <c r="TFP300" s="208"/>
      <c r="TFQ300" s="208"/>
      <c r="TFR300" s="208"/>
      <c r="TFS300" s="208"/>
      <c r="TFT300" s="208"/>
      <c r="TFU300" s="208"/>
      <c r="TFV300" s="208"/>
      <c r="TFW300" s="208"/>
      <c r="TFX300" s="208"/>
      <c r="TFY300" s="208"/>
      <c r="TFZ300" s="208"/>
      <c r="TGA300" s="208"/>
      <c r="TGB300" s="208"/>
      <c r="TGC300" s="208"/>
      <c r="TGD300" s="208"/>
      <c r="TGE300" s="208"/>
      <c r="TGF300" s="208"/>
      <c r="TGG300" s="208"/>
      <c r="TGH300" s="208"/>
      <c r="TGI300" s="208"/>
      <c r="TGJ300" s="208"/>
      <c r="TGK300" s="208"/>
      <c r="TGL300" s="208"/>
      <c r="TGM300" s="208"/>
      <c r="TGN300" s="208"/>
      <c r="TGO300" s="208"/>
      <c r="TGP300" s="208"/>
      <c r="TGQ300" s="208"/>
      <c r="TGR300" s="208"/>
      <c r="TGS300" s="208"/>
      <c r="TGT300" s="208"/>
      <c r="TGU300" s="208"/>
      <c r="TGV300" s="208"/>
      <c r="TGW300" s="208"/>
      <c r="TGX300" s="208"/>
      <c r="TGY300" s="208"/>
      <c r="TGZ300" s="208"/>
      <c r="THA300" s="208"/>
      <c r="THB300" s="208"/>
      <c r="THC300" s="208"/>
      <c r="THD300" s="208"/>
      <c r="THE300" s="208"/>
      <c r="THF300" s="208"/>
      <c r="THG300" s="208"/>
      <c r="THH300" s="208"/>
      <c r="THI300" s="208"/>
      <c r="THJ300" s="208"/>
      <c r="THK300" s="208"/>
      <c r="THL300" s="208"/>
      <c r="THM300" s="208"/>
      <c r="THN300" s="208"/>
      <c r="THO300" s="208"/>
      <c r="THP300" s="208"/>
      <c r="THQ300" s="208"/>
      <c r="THR300" s="208"/>
      <c r="THS300" s="208"/>
      <c r="THT300" s="208"/>
      <c r="THU300" s="208"/>
      <c r="THV300" s="208"/>
      <c r="THW300" s="208"/>
      <c r="THX300" s="208"/>
      <c r="THY300" s="208"/>
      <c r="THZ300" s="208"/>
      <c r="TIA300" s="208"/>
      <c r="TIB300" s="208"/>
      <c r="TIC300" s="208"/>
      <c r="TID300" s="208"/>
      <c r="TIE300" s="208"/>
      <c r="TIF300" s="208"/>
      <c r="TIG300" s="208"/>
      <c r="TIH300" s="208"/>
      <c r="TII300" s="208"/>
      <c r="TIJ300" s="208"/>
      <c r="TIK300" s="208"/>
      <c r="TIL300" s="208"/>
      <c r="TIM300" s="208"/>
      <c r="TIN300" s="208"/>
      <c r="TIO300" s="208"/>
      <c r="TIP300" s="208"/>
      <c r="TIQ300" s="208"/>
      <c r="TIR300" s="208"/>
      <c r="TIS300" s="208"/>
      <c r="TIT300" s="208"/>
      <c r="TIU300" s="208"/>
      <c r="TIV300" s="208"/>
      <c r="TIW300" s="208"/>
      <c r="TIX300" s="208"/>
      <c r="TIY300" s="208"/>
      <c r="TIZ300" s="208"/>
      <c r="TJA300" s="208"/>
      <c r="TJB300" s="208"/>
      <c r="TJC300" s="208"/>
      <c r="TJD300" s="208"/>
      <c r="TJE300" s="208"/>
      <c r="TJF300" s="208"/>
      <c r="TJG300" s="208"/>
      <c r="TJH300" s="208"/>
      <c r="TJI300" s="208"/>
      <c r="TJJ300" s="208"/>
      <c r="TJK300" s="208"/>
      <c r="TJL300" s="208"/>
      <c r="TJM300" s="208"/>
      <c r="TJN300" s="208"/>
      <c r="TJO300" s="208"/>
      <c r="TJP300" s="208"/>
      <c r="TJQ300" s="208"/>
      <c r="TJR300" s="208"/>
      <c r="TJS300" s="208"/>
      <c r="TJT300" s="208"/>
      <c r="TJU300" s="208"/>
      <c r="TJV300" s="208"/>
      <c r="TJW300" s="208"/>
      <c r="TJX300" s="208"/>
      <c r="TJY300" s="208"/>
      <c r="TJZ300" s="208"/>
      <c r="TKA300" s="208"/>
      <c r="TKB300" s="208"/>
      <c r="TKC300" s="208"/>
      <c r="TKD300" s="208"/>
      <c r="TKE300" s="208"/>
      <c r="TKF300" s="208"/>
      <c r="TKG300" s="208"/>
      <c r="TKH300" s="208"/>
      <c r="TKI300" s="208"/>
      <c r="TKJ300" s="208"/>
      <c r="TKK300" s="208"/>
      <c r="TKL300" s="208"/>
      <c r="TKM300" s="208"/>
      <c r="TKN300" s="208"/>
      <c r="TKO300" s="208"/>
      <c r="TKP300" s="208"/>
      <c r="TKQ300" s="208"/>
      <c r="TKR300" s="208"/>
      <c r="TKS300" s="208"/>
      <c r="TKT300" s="208"/>
      <c r="TKU300" s="208"/>
      <c r="TKV300" s="208"/>
      <c r="TKW300" s="208"/>
      <c r="TKX300" s="208"/>
      <c r="TKY300" s="208"/>
      <c r="TKZ300" s="208"/>
      <c r="TLA300" s="208"/>
      <c r="TLB300" s="208"/>
      <c r="TLC300" s="208"/>
      <c r="TLD300" s="208"/>
      <c r="TLE300" s="208"/>
      <c r="TLF300" s="208"/>
      <c r="TLG300" s="208"/>
      <c r="TLH300" s="208"/>
      <c r="TLI300" s="208"/>
      <c r="TLJ300" s="208"/>
      <c r="TLK300" s="208"/>
      <c r="TLL300" s="208"/>
      <c r="TLM300" s="208"/>
      <c r="TLN300" s="208"/>
      <c r="TLO300" s="208"/>
      <c r="TLP300" s="208"/>
      <c r="TLQ300" s="208"/>
      <c r="TLR300" s="208"/>
      <c r="TLS300" s="208"/>
      <c r="TLT300" s="208"/>
      <c r="TLU300" s="208"/>
      <c r="TLV300" s="208"/>
      <c r="TLW300" s="208"/>
      <c r="TLX300" s="208"/>
      <c r="TLY300" s="208"/>
      <c r="TLZ300" s="208"/>
      <c r="TMA300" s="208"/>
      <c r="TMB300" s="208"/>
      <c r="TMC300" s="208"/>
      <c r="TMD300" s="208"/>
      <c r="TME300" s="208"/>
      <c r="TMF300" s="208"/>
      <c r="TMG300" s="208"/>
      <c r="TMH300" s="208"/>
      <c r="TMI300" s="208"/>
      <c r="TMJ300" s="208"/>
      <c r="TMK300" s="208"/>
      <c r="TML300" s="208"/>
      <c r="TMM300" s="208"/>
      <c r="TMN300" s="208"/>
      <c r="TMO300" s="208"/>
      <c r="TMP300" s="208"/>
      <c r="TMQ300" s="208"/>
      <c r="TMR300" s="208"/>
      <c r="TMS300" s="208"/>
      <c r="TMT300" s="208"/>
      <c r="TMU300" s="208"/>
      <c r="TMV300" s="208"/>
      <c r="TMW300" s="208"/>
      <c r="TMX300" s="208"/>
      <c r="TMY300" s="208"/>
      <c r="TMZ300" s="208"/>
      <c r="TNA300" s="208"/>
      <c r="TNB300" s="208"/>
      <c r="TNC300" s="208"/>
      <c r="TND300" s="208"/>
      <c r="TNE300" s="208"/>
      <c r="TNF300" s="208"/>
      <c r="TNG300" s="208"/>
      <c r="TNH300" s="208"/>
      <c r="TNI300" s="208"/>
      <c r="TNJ300" s="208"/>
      <c r="TNK300" s="208"/>
      <c r="TNL300" s="208"/>
      <c r="TNM300" s="208"/>
      <c r="TNN300" s="208"/>
      <c r="TNO300" s="208"/>
      <c r="TNP300" s="208"/>
      <c r="TNQ300" s="208"/>
      <c r="TNR300" s="208"/>
      <c r="TNS300" s="208"/>
      <c r="TNT300" s="208"/>
      <c r="TNU300" s="208"/>
      <c r="TNV300" s="208"/>
      <c r="TNW300" s="208"/>
      <c r="TNX300" s="208"/>
      <c r="TNY300" s="208"/>
      <c r="TNZ300" s="208"/>
      <c r="TOA300" s="208"/>
      <c r="TOB300" s="208"/>
      <c r="TOC300" s="208"/>
      <c r="TOD300" s="208"/>
      <c r="TOE300" s="208"/>
      <c r="TOF300" s="208"/>
      <c r="TOG300" s="208"/>
      <c r="TOH300" s="208"/>
      <c r="TOI300" s="208"/>
      <c r="TOJ300" s="208"/>
      <c r="TOK300" s="208"/>
      <c r="TOL300" s="208"/>
      <c r="TOM300" s="208"/>
      <c r="TON300" s="208"/>
      <c r="TOO300" s="208"/>
      <c r="TOP300" s="208"/>
      <c r="TOQ300" s="208"/>
      <c r="TOR300" s="208"/>
      <c r="TOS300" s="208"/>
      <c r="TOT300" s="208"/>
      <c r="TOU300" s="208"/>
      <c r="TOV300" s="208"/>
      <c r="TOW300" s="208"/>
      <c r="TOX300" s="208"/>
      <c r="TOY300" s="208"/>
      <c r="TOZ300" s="208"/>
      <c r="TPA300" s="208"/>
      <c r="TPB300" s="208"/>
      <c r="TPC300" s="208"/>
      <c r="TPD300" s="208"/>
      <c r="TPE300" s="208"/>
      <c r="TPF300" s="208"/>
      <c r="TPG300" s="208"/>
      <c r="TPH300" s="208"/>
      <c r="TPI300" s="208"/>
      <c r="TPJ300" s="208"/>
      <c r="TPK300" s="208"/>
      <c r="TPL300" s="208"/>
      <c r="TPM300" s="208"/>
      <c r="TPN300" s="208"/>
      <c r="TPO300" s="208"/>
      <c r="TPP300" s="208"/>
      <c r="TPQ300" s="208"/>
      <c r="TPR300" s="208"/>
      <c r="TPS300" s="208"/>
      <c r="TPT300" s="208"/>
      <c r="TPU300" s="208"/>
      <c r="TPV300" s="208"/>
      <c r="TPW300" s="208"/>
      <c r="TPX300" s="208"/>
      <c r="TPY300" s="208"/>
      <c r="TPZ300" s="208"/>
      <c r="TQA300" s="208"/>
      <c r="TQB300" s="208"/>
      <c r="TQC300" s="208"/>
      <c r="TQD300" s="208"/>
      <c r="TQE300" s="208"/>
      <c r="TQF300" s="208"/>
      <c r="TQG300" s="208"/>
      <c r="TQH300" s="208"/>
      <c r="TQI300" s="208"/>
      <c r="TQJ300" s="208"/>
      <c r="TQK300" s="208"/>
      <c r="TQL300" s="208"/>
      <c r="TQM300" s="208"/>
      <c r="TQN300" s="208"/>
      <c r="TQO300" s="208"/>
      <c r="TQP300" s="208"/>
      <c r="TQQ300" s="208"/>
      <c r="TQR300" s="208"/>
      <c r="TQS300" s="208"/>
      <c r="TQT300" s="208"/>
      <c r="TQU300" s="208"/>
      <c r="TQV300" s="208"/>
      <c r="TQW300" s="208"/>
      <c r="TQX300" s="208"/>
      <c r="TQY300" s="208"/>
      <c r="TQZ300" s="208"/>
      <c r="TRA300" s="208"/>
      <c r="TRB300" s="208"/>
      <c r="TRC300" s="208"/>
      <c r="TRD300" s="208"/>
      <c r="TRE300" s="208"/>
      <c r="TRF300" s="208"/>
      <c r="TRG300" s="208"/>
      <c r="TRH300" s="208"/>
      <c r="TRI300" s="208"/>
      <c r="TRJ300" s="208"/>
      <c r="TRK300" s="208"/>
      <c r="TRL300" s="208"/>
      <c r="TRM300" s="208"/>
      <c r="TRN300" s="208"/>
      <c r="TRO300" s="208"/>
      <c r="TRP300" s="208"/>
      <c r="TRQ300" s="208"/>
      <c r="TRR300" s="208"/>
      <c r="TRS300" s="208"/>
      <c r="TRT300" s="208"/>
      <c r="TRU300" s="208"/>
      <c r="TRV300" s="208"/>
      <c r="TRW300" s="208"/>
      <c r="TRX300" s="208"/>
      <c r="TRY300" s="208"/>
      <c r="TRZ300" s="208"/>
      <c r="TSA300" s="208"/>
      <c r="TSB300" s="208"/>
      <c r="TSC300" s="208"/>
      <c r="TSD300" s="208"/>
      <c r="TSE300" s="208"/>
      <c r="TSF300" s="208"/>
      <c r="TSG300" s="208"/>
      <c r="TSH300" s="208"/>
      <c r="TSI300" s="208"/>
      <c r="TSJ300" s="208"/>
      <c r="TSK300" s="208"/>
      <c r="TSL300" s="208"/>
      <c r="TSM300" s="208"/>
      <c r="TSN300" s="208"/>
      <c r="TSO300" s="208"/>
      <c r="TSP300" s="208"/>
      <c r="TSQ300" s="208"/>
      <c r="TSR300" s="208"/>
      <c r="TSS300" s="208"/>
      <c r="TST300" s="208"/>
      <c r="TSU300" s="208"/>
      <c r="TSV300" s="208"/>
      <c r="TSW300" s="208"/>
      <c r="TSX300" s="208"/>
      <c r="TSY300" s="208"/>
      <c r="TSZ300" s="208"/>
      <c r="TTA300" s="208"/>
      <c r="TTB300" s="208"/>
      <c r="TTC300" s="208"/>
      <c r="TTD300" s="208"/>
      <c r="TTE300" s="208"/>
      <c r="TTF300" s="208"/>
      <c r="TTG300" s="208"/>
      <c r="TTH300" s="208"/>
      <c r="TTI300" s="208"/>
      <c r="TTJ300" s="208"/>
      <c r="TTK300" s="208"/>
      <c r="TTL300" s="208"/>
      <c r="TTM300" s="208"/>
      <c r="TTN300" s="208"/>
      <c r="TTO300" s="208"/>
      <c r="TTP300" s="208"/>
      <c r="TTQ300" s="208"/>
      <c r="TTR300" s="208"/>
      <c r="TTS300" s="208"/>
      <c r="TTT300" s="208"/>
      <c r="TTU300" s="208"/>
      <c r="TTV300" s="208"/>
      <c r="TTW300" s="208"/>
      <c r="TTX300" s="208"/>
      <c r="TTY300" s="208"/>
      <c r="TTZ300" s="208"/>
      <c r="TUA300" s="208"/>
      <c r="TUB300" s="208"/>
      <c r="TUC300" s="208"/>
      <c r="TUD300" s="208"/>
      <c r="TUE300" s="208"/>
      <c r="TUF300" s="208"/>
      <c r="TUG300" s="208"/>
      <c r="TUH300" s="208"/>
      <c r="TUI300" s="208"/>
      <c r="TUJ300" s="208"/>
      <c r="TUK300" s="208"/>
      <c r="TUL300" s="208"/>
      <c r="TUM300" s="208"/>
      <c r="TUN300" s="208"/>
      <c r="TUO300" s="208"/>
      <c r="TUP300" s="208"/>
      <c r="TUQ300" s="208"/>
      <c r="TUR300" s="208"/>
      <c r="TUS300" s="208"/>
      <c r="TUT300" s="208"/>
      <c r="TUU300" s="208"/>
      <c r="TUV300" s="208"/>
      <c r="TUW300" s="208"/>
      <c r="TUX300" s="208"/>
      <c r="TUY300" s="208"/>
      <c r="TUZ300" s="208"/>
      <c r="TVA300" s="208"/>
      <c r="TVB300" s="208"/>
      <c r="TVC300" s="208"/>
      <c r="TVD300" s="208"/>
      <c r="TVE300" s="208"/>
      <c r="TVF300" s="208"/>
      <c r="TVG300" s="208"/>
      <c r="TVH300" s="208"/>
      <c r="TVI300" s="208"/>
      <c r="TVJ300" s="208"/>
      <c r="TVK300" s="208"/>
      <c r="TVL300" s="208"/>
      <c r="TVM300" s="208"/>
      <c r="TVN300" s="208"/>
      <c r="TVO300" s="208"/>
      <c r="TVP300" s="208"/>
      <c r="TVQ300" s="208"/>
      <c r="TVR300" s="208"/>
      <c r="TVS300" s="208"/>
      <c r="TVT300" s="208"/>
      <c r="TVU300" s="208"/>
      <c r="TVV300" s="208"/>
      <c r="TVW300" s="208"/>
      <c r="TVX300" s="208"/>
      <c r="TVY300" s="208"/>
      <c r="TVZ300" s="208"/>
      <c r="TWA300" s="208"/>
      <c r="TWB300" s="208"/>
      <c r="TWC300" s="208"/>
      <c r="TWD300" s="208"/>
      <c r="TWE300" s="208"/>
      <c r="TWF300" s="208"/>
      <c r="TWG300" s="208"/>
      <c r="TWH300" s="208"/>
      <c r="TWI300" s="208"/>
      <c r="TWJ300" s="208"/>
      <c r="TWK300" s="208"/>
      <c r="TWL300" s="208"/>
      <c r="TWM300" s="208"/>
      <c r="TWN300" s="208"/>
      <c r="TWO300" s="208"/>
      <c r="TWP300" s="208"/>
      <c r="TWQ300" s="208"/>
      <c r="TWR300" s="208"/>
      <c r="TWS300" s="208"/>
      <c r="TWT300" s="208"/>
      <c r="TWU300" s="208"/>
      <c r="TWV300" s="208"/>
      <c r="TWW300" s="208"/>
      <c r="TWX300" s="208"/>
      <c r="TWY300" s="208"/>
      <c r="TWZ300" s="208"/>
      <c r="TXA300" s="208"/>
      <c r="TXB300" s="208"/>
      <c r="TXC300" s="208"/>
      <c r="TXD300" s="208"/>
      <c r="TXE300" s="208"/>
      <c r="TXF300" s="208"/>
      <c r="TXG300" s="208"/>
      <c r="TXH300" s="208"/>
      <c r="TXI300" s="208"/>
      <c r="TXJ300" s="208"/>
      <c r="TXK300" s="208"/>
      <c r="TXL300" s="208"/>
      <c r="TXM300" s="208"/>
      <c r="TXN300" s="208"/>
      <c r="TXO300" s="208"/>
      <c r="TXP300" s="208"/>
      <c r="TXQ300" s="208"/>
      <c r="TXR300" s="208"/>
      <c r="TXS300" s="208"/>
      <c r="TXT300" s="208"/>
      <c r="TXU300" s="208"/>
      <c r="TXV300" s="208"/>
      <c r="TXW300" s="208"/>
      <c r="TXX300" s="208"/>
      <c r="TXY300" s="208"/>
      <c r="TXZ300" s="208"/>
      <c r="TYA300" s="208"/>
      <c r="TYB300" s="208"/>
      <c r="TYC300" s="208"/>
      <c r="TYD300" s="208"/>
      <c r="TYE300" s="208"/>
      <c r="TYF300" s="208"/>
      <c r="TYG300" s="208"/>
      <c r="TYH300" s="208"/>
      <c r="TYI300" s="208"/>
      <c r="TYJ300" s="208"/>
      <c r="TYK300" s="208"/>
      <c r="TYL300" s="208"/>
      <c r="TYM300" s="208"/>
      <c r="TYN300" s="208"/>
      <c r="TYO300" s="208"/>
      <c r="TYP300" s="208"/>
      <c r="TYQ300" s="208"/>
      <c r="TYR300" s="208"/>
      <c r="TYS300" s="208"/>
      <c r="TYT300" s="208"/>
      <c r="TYU300" s="208"/>
      <c r="TYV300" s="208"/>
      <c r="TYW300" s="208"/>
      <c r="TYX300" s="208"/>
      <c r="TYY300" s="208"/>
      <c r="TYZ300" s="208"/>
      <c r="TZA300" s="208"/>
      <c r="TZB300" s="208"/>
      <c r="TZC300" s="208"/>
      <c r="TZD300" s="208"/>
      <c r="TZE300" s="208"/>
      <c r="TZF300" s="208"/>
      <c r="TZG300" s="208"/>
      <c r="TZH300" s="208"/>
      <c r="TZI300" s="208"/>
      <c r="TZJ300" s="208"/>
      <c r="TZK300" s="208"/>
      <c r="TZL300" s="208"/>
      <c r="TZM300" s="208"/>
      <c r="TZN300" s="208"/>
      <c r="TZO300" s="208"/>
      <c r="TZP300" s="208"/>
      <c r="TZQ300" s="208"/>
      <c r="TZR300" s="208"/>
      <c r="TZS300" s="208"/>
      <c r="TZT300" s="208"/>
      <c r="TZU300" s="208"/>
      <c r="TZV300" s="208"/>
      <c r="TZW300" s="208"/>
      <c r="TZX300" s="208"/>
      <c r="TZY300" s="208"/>
      <c r="TZZ300" s="208"/>
      <c r="UAA300" s="208"/>
      <c r="UAB300" s="208"/>
      <c r="UAC300" s="208"/>
      <c r="UAD300" s="208"/>
      <c r="UAE300" s="208"/>
      <c r="UAF300" s="208"/>
      <c r="UAG300" s="208"/>
      <c r="UAH300" s="208"/>
      <c r="UAI300" s="208"/>
      <c r="UAJ300" s="208"/>
      <c r="UAK300" s="208"/>
      <c r="UAL300" s="208"/>
      <c r="UAM300" s="208"/>
      <c r="UAN300" s="208"/>
      <c r="UAO300" s="208"/>
      <c r="UAP300" s="208"/>
      <c r="UAQ300" s="208"/>
      <c r="UAR300" s="208"/>
      <c r="UAS300" s="208"/>
      <c r="UAT300" s="208"/>
      <c r="UAU300" s="208"/>
      <c r="UAV300" s="208"/>
      <c r="UAW300" s="208"/>
      <c r="UAX300" s="208"/>
      <c r="UAY300" s="208"/>
      <c r="UAZ300" s="208"/>
      <c r="UBA300" s="208"/>
      <c r="UBB300" s="208"/>
      <c r="UBC300" s="208"/>
      <c r="UBD300" s="208"/>
      <c r="UBE300" s="208"/>
      <c r="UBF300" s="208"/>
      <c r="UBG300" s="208"/>
      <c r="UBH300" s="208"/>
      <c r="UBI300" s="208"/>
      <c r="UBJ300" s="208"/>
      <c r="UBK300" s="208"/>
      <c r="UBL300" s="208"/>
      <c r="UBM300" s="208"/>
      <c r="UBN300" s="208"/>
      <c r="UBO300" s="208"/>
      <c r="UBP300" s="208"/>
      <c r="UBQ300" s="208"/>
      <c r="UBR300" s="208"/>
      <c r="UBS300" s="208"/>
      <c r="UBT300" s="208"/>
      <c r="UBU300" s="208"/>
      <c r="UBV300" s="208"/>
      <c r="UBW300" s="208"/>
      <c r="UBX300" s="208"/>
      <c r="UBY300" s="208"/>
      <c r="UBZ300" s="208"/>
      <c r="UCA300" s="208"/>
      <c r="UCB300" s="208"/>
      <c r="UCC300" s="208"/>
      <c r="UCD300" s="208"/>
      <c r="UCE300" s="208"/>
      <c r="UCF300" s="208"/>
      <c r="UCG300" s="208"/>
      <c r="UCH300" s="208"/>
      <c r="UCI300" s="208"/>
      <c r="UCJ300" s="208"/>
      <c r="UCK300" s="208"/>
      <c r="UCL300" s="208"/>
      <c r="UCM300" s="208"/>
      <c r="UCN300" s="208"/>
      <c r="UCO300" s="208"/>
      <c r="UCP300" s="208"/>
      <c r="UCQ300" s="208"/>
      <c r="UCR300" s="208"/>
      <c r="UCS300" s="208"/>
      <c r="UCT300" s="208"/>
      <c r="UCU300" s="208"/>
      <c r="UCV300" s="208"/>
      <c r="UCW300" s="208"/>
      <c r="UCX300" s="208"/>
      <c r="UCY300" s="208"/>
      <c r="UCZ300" s="208"/>
      <c r="UDA300" s="208"/>
      <c r="UDB300" s="208"/>
      <c r="UDC300" s="208"/>
      <c r="UDD300" s="208"/>
      <c r="UDE300" s="208"/>
      <c r="UDF300" s="208"/>
      <c r="UDG300" s="208"/>
      <c r="UDH300" s="208"/>
      <c r="UDI300" s="208"/>
      <c r="UDJ300" s="208"/>
      <c r="UDK300" s="208"/>
      <c r="UDL300" s="208"/>
      <c r="UDM300" s="208"/>
      <c r="UDN300" s="208"/>
      <c r="UDO300" s="208"/>
      <c r="UDP300" s="208"/>
      <c r="UDQ300" s="208"/>
      <c r="UDR300" s="208"/>
      <c r="UDS300" s="208"/>
      <c r="UDT300" s="208"/>
      <c r="UDU300" s="208"/>
      <c r="UDV300" s="208"/>
      <c r="UDW300" s="208"/>
      <c r="UDX300" s="208"/>
      <c r="UDY300" s="208"/>
      <c r="UDZ300" s="208"/>
      <c r="UEA300" s="208"/>
      <c r="UEB300" s="208"/>
      <c r="UEC300" s="208"/>
      <c r="UED300" s="208"/>
      <c r="UEE300" s="208"/>
      <c r="UEF300" s="208"/>
      <c r="UEG300" s="208"/>
      <c r="UEH300" s="208"/>
      <c r="UEI300" s="208"/>
      <c r="UEJ300" s="208"/>
      <c r="UEK300" s="208"/>
      <c r="UEL300" s="208"/>
      <c r="UEM300" s="208"/>
      <c r="UEN300" s="208"/>
      <c r="UEO300" s="208"/>
      <c r="UEP300" s="208"/>
      <c r="UEQ300" s="208"/>
      <c r="UER300" s="208"/>
      <c r="UES300" s="208"/>
      <c r="UET300" s="208"/>
      <c r="UEU300" s="208"/>
      <c r="UEV300" s="208"/>
      <c r="UEW300" s="208"/>
      <c r="UEX300" s="208"/>
      <c r="UEY300" s="208"/>
      <c r="UEZ300" s="208"/>
      <c r="UFA300" s="208"/>
      <c r="UFB300" s="208"/>
      <c r="UFC300" s="208"/>
      <c r="UFD300" s="208"/>
      <c r="UFE300" s="208"/>
      <c r="UFF300" s="208"/>
      <c r="UFG300" s="208"/>
      <c r="UFH300" s="208"/>
      <c r="UFI300" s="208"/>
      <c r="UFJ300" s="208"/>
      <c r="UFK300" s="208"/>
      <c r="UFL300" s="208"/>
      <c r="UFM300" s="208"/>
      <c r="UFN300" s="208"/>
      <c r="UFO300" s="208"/>
      <c r="UFP300" s="208"/>
      <c r="UFQ300" s="208"/>
      <c r="UFR300" s="208"/>
      <c r="UFS300" s="208"/>
      <c r="UFT300" s="208"/>
      <c r="UFU300" s="208"/>
      <c r="UFV300" s="208"/>
      <c r="UFW300" s="208"/>
      <c r="UFX300" s="208"/>
      <c r="UFY300" s="208"/>
      <c r="UFZ300" s="208"/>
      <c r="UGA300" s="208"/>
      <c r="UGB300" s="208"/>
      <c r="UGC300" s="208"/>
      <c r="UGD300" s="208"/>
      <c r="UGE300" s="208"/>
      <c r="UGF300" s="208"/>
      <c r="UGG300" s="208"/>
      <c r="UGH300" s="208"/>
      <c r="UGI300" s="208"/>
      <c r="UGJ300" s="208"/>
      <c r="UGK300" s="208"/>
      <c r="UGL300" s="208"/>
      <c r="UGM300" s="208"/>
      <c r="UGN300" s="208"/>
      <c r="UGO300" s="208"/>
      <c r="UGP300" s="208"/>
      <c r="UGQ300" s="208"/>
      <c r="UGR300" s="208"/>
      <c r="UGS300" s="208"/>
      <c r="UGT300" s="208"/>
      <c r="UGU300" s="208"/>
      <c r="UGV300" s="208"/>
      <c r="UGW300" s="208"/>
      <c r="UGX300" s="208"/>
      <c r="UGY300" s="208"/>
      <c r="UGZ300" s="208"/>
      <c r="UHA300" s="208"/>
      <c r="UHB300" s="208"/>
      <c r="UHC300" s="208"/>
      <c r="UHD300" s="208"/>
      <c r="UHE300" s="208"/>
      <c r="UHF300" s="208"/>
      <c r="UHG300" s="208"/>
      <c r="UHH300" s="208"/>
      <c r="UHI300" s="208"/>
      <c r="UHJ300" s="208"/>
      <c r="UHK300" s="208"/>
      <c r="UHL300" s="208"/>
      <c r="UHM300" s="208"/>
      <c r="UHN300" s="208"/>
      <c r="UHO300" s="208"/>
      <c r="UHP300" s="208"/>
      <c r="UHQ300" s="208"/>
      <c r="UHR300" s="208"/>
      <c r="UHS300" s="208"/>
      <c r="UHT300" s="208"/>
      <c r="UHU300" s="208"/>
      <c r="UHV300" s="208"/>
      <c r="UHW300" s="208"/>
      <c r="UHX300" s="208"/>
      <c r="UHY300" s="208"/>
      <c r="UHZ300" s="208"/>
      <c r="UIA300" s="208"/>
      <c r="UIB300" s="208"/>
      <c r="UIC300" s="208"/>
      <c r="UID300" s="208"/>
      <c r="UIE300" s="208"/>
      <c r="UIF300" s="208"/>
      <c r="UIG300" s="208"/>
      <c r="UIH300" s="208"/>
      <c r="UII300" s="208"/>
      <c r="UIJ300" s="208"/>
      <c r="UIK300" s="208"/>
      <c r="UIL300" s="208"/>
      <c r="UIM300" s="208"/>
      <c r="UIN300" s="208"/>
      <c r="UIO300" s="208"/>
      <c r="UIP300" s="208"/>
      <c r="UIQ300" s="208"/>
      <c r="UIR300" s="208"/>
      <c r="UIS300" s="208"/>
      <c r="UIT300" s="208"/>
      <c r="UIU300" s="208"/>
      <c r="UIV300" s="208"/>
      <c r="UIW300" s="208"/>
      <c r="UIX300" s="208"/>
      <c r="UIY300" s="208"/>
      <c r="UIZ300" s="208"/>
      <c r="UJA300" s="208"/>
      <c r="UJB300" s="208"/>
      <c r="UJC300" s="208"/>
      <c r="UJD300" s="208"/>
      <c r="UJE300" s="208"/>
      <c r="UJF300" s="208"/>
      <c r="UJG300" s="208"/>
      <c r="UJH300" s="208"/>
      <c r="UJI300" s="208"/>
      <c r="UJJ300" s="208"/>
      <c r="UJK300" s="208"/>
      <c r="UJL300" s="208"/>
      <c r="UJM300" s="208"/>
      <c r="UJN300" s="208"/>
      <c r="UJO300" s="208"/>
      <c r="UJP300" s="208"/>
      <c r="UJQ300" s="208"/>
      <c r="UJR300" s="208"/>
      <c r="UJS300" s="208"/>
      <c r="UJT300" s="208"/>
      <c r="UJU300" s="208"/>
      <c r="UJV300" s="208"/>
      <c r="UJW300" s="208"/>
      <c r="UJX300" s="208"/>
      <c r="UJY300" s="208"/>
      <c r="UJZ300" s="208"/>
      <c r="UKA300" s="208"/>
      <c r="UKB300" s="208"/>
      <c r="UKC300" s="208"/>
      <c r="UKD300" s="208"/>
      <c r="UKE300" s="208"/>
      <c r="UKF300" s="208"/>
      <c r="UKG300" s="208"/>
      <c r="UKH300" s="208"/>
      <c r="UKI300" s="208"/>
      <c r="UKJ300" s="208"/>
      <c r="UKK300" s="208"/>
      <c r="UKL300" s="208"/>
      <c r="UKM300" s="208"/>
      <c r="UKN300" s="208"/>
      <c r="UKO300" s="208"/>
      <c r="UKP300" s="208"/>
      <c r="UKQ300" s="208"/>
      <c r="UKR300" s="208"/>
      <c r="UKS300" s="208"/>
      <c r="UKT300" s="208"/>
      <c r="UKU300" s="208"/>
      <c r="UKV300" s="208"/>
      <c r="UKW300" s="208"/>
      <c r="UKX300" s="208"/>
      <c r="UKY300" s="208"/>
      <c r="UKZ300" s="208"/>
      <c r="ULA300" s="208"/>
      <c r="ULB300" s="208"/>
      <c r="ULC300" s="208"/>
      <c r="ULD300" s="208"/>
      <c r="ULE300" s="208"/>
      <c r="ULF300" s="208"/>
      <c r="ULG300" s="208"/>
      <c r="ULH300" s="208"/>
      <c r="ULI300" s="208"/>
      <c r="ULJ300" s="208"/>
      <c r="ULK300" s="208"/>
      <c r="ULL300" s="208"/>
      <c r="ULM300" s="208"/>
      <c r="ULN300" s="208"/>
      <c r="ULO300" s="208"/>
      <c r="ULP300" s="208"/>
      <c r="ULQ300" s="208"/>
      <c r="ULR300" s="208"/>
      <c r="ULS300" s="208"/>
      <c r="ULT300" s="208"/>
      <c r="ULU300" s="208"/>
      <c r="ULV300" s="208"/>
      <c r="ULW300" s="208"/>
      <c r="ULX300" s="208"/>
      <c r="ULY300" s="208"/>
      <c r="ULZ300" s="208"/>
      <c r="UMA300" s="208"/>
      <c r="UMB300" s="208"/>
      <c r="UMC300" s="208"/>
      <c r="UMD300" s="208"/>
      <c r="UME300" s="208"/>
      <c r="UMF300" s="208"/>
      <c r="UMG300" s="208"/>
      <c r="UMH300" s="208"/>
      <c r="UMI300" s="208"/>
      <c r="UMJ300" s="208"/>
      <c r="UMK300" s="208"/>
      <c r="UML300" s="208"/>
      <c r="UMM300" s="208"/>
      <c r="UMN300" s="208"/>
      <c r="UMO300" s="208"/>
      <c r="UMP300" s="208"/>
      <c r="UMQ300" s="208"/>
      <c r="UMR300" s="208"/>
      <c r="UMS300" s="208"/>
      <c r="UMT300" s="208"/>
      <c r="UMU300" s="208"/>
      <c r="UMV300" s="208"/>
      <c r="UMW300" s="208"/>
      <c r="UMX300" s="208"/>
      <c r="UMY300" s="208"/>
      <c r="UMZ300" s="208"/>
      <c r="UNA300" s="208"/>
      <c r="UNB300" s="208"/>
      <c r="UNC300" s="208"/>
      <c r="UND300" s="208"/>
      <c r="UNE300" s="208"/>
      <c r="UNF300" s="208"/>
      <c r="UNG300" s="208"/>
      <c r="UNH300" s="208"/>
      <c r="UNI300" s="208"/>
      <c r="UNJ300" s="208"/>
      <c r="UNK300" s="208"/>
      <c r="UNL300" s="208"/>
      <c r="UNM300" s="208"/>
      <c r="UNN300" s="208"/>
      <c r="UNO300" s="208"/>
      <c r="UNP300" s="208"/>
      <c r="UNQ300" s="208"/>
      <c r="UNR300" s="208"/>
      <c r="UNS300" s="208"/>
      <c r="UNT300" s="208"/>
      <c r="UNU300" s="208"/>
      <c r="UNV300" s="208"/>
      <c r="UNW300" s="208"/>
      <c r="UNX300" s="208"/>
      <c r="UNY300" s="208"/>
      <c r="UNZ300" s="208"/>
      <c r="UOA300" s="208"/>
      <c r="UOB300" s="208"/>
      <c r="UOC300" s="208"/>
      <c r="UOD300" s="208"/>
      <c r="UOE300" s="208"/>
      <c r="UOF300" s="208"/>
      <c r="UOG300" s="208"/>
      <c r="UOH300" s="208"/>
      <c r="UOI300" s="208"/>
      <c r="UOJ300" s="208"/>
      <c r="UOK300" s="208"/>
      <c r="UOL300" s="208"/>
      <c r="UOM300" s="208"/>
      <c r="UON300" s="208"/>
      <c r="UOO300" s="208"/>
      <c r="UOP300" s="208"/>
      <c r="UOQ300" s="208"/>
      <c r="UOR300" s="208"/>
      <c r="UOS300" s="208"/>
      <c r="UOT300" s="208"/>
      <c r="UOU300" s="208"/>
      <c r="UOV300" s="208"/>
      <c r="UOW300" s="208"/>
      <c r="UOX300" s="208"/>
      <c r="UOY300" s="208"/>
      <c r="UOZ300" s="208"/>
      <c r="UPA300" s="208"/>
      <c r="UPB300" s="208"/>
      <c r="UPC300" s="208"/>
      <c r="UPD300" s="208"/>
      <c r="UPE300" s="208"/>
      <c r="UPF300" s="208"/>
      <c r="UPG300" s="208"/>
      <c r="UPH300" s="208"/>
      <c r="UPI300" s="208"/>
      <c r="UPJ300" s="208"/>
      <c r="UPK300" s="208"/>
      <c r="UPL300" s="208"/>
      <c r="UPM300" s="208"/>
      <c r="UPN300" s="208"/>
      <c r="UPO300" s="208"/>
      <c r="UPP300" s="208"/>
      <c r="UPQ300" s="208"/>
      <c r="UPR300" s="208"/>
      <c r="UPS300" s="208"/>
      <c r="UPT300" s="208"/>
      <c r="UPU300" s="208"/>
      <c r="UPV300" s="208"/>
      <c r="UPW300" s="208"/>
      <c r="UPX300" s="208"/>
      <c r="UPY300" s="208"/>
      <c r="UPZ300" s="208"/>
      <c r="UQA300" s="208"/>
      <c r="UQB300" s="208"/>
      <c r="UQC300" s="208"/>
      <c r="UQD300" s="208"/>
      <c r="UQE300" s="208"/>
      <c r="UQF300" s="208"/>
      <c r="UQG300" s="208"/>
      <c r="UQH300" s="208"/>
      <c r="UQI300" s="208"/>
      <c r="UQJ300" s="208"/>
      <c r="UQK300" s="208"/>
      <c r="UQL300" s="208"/>
      <c r="UQM300" s="208"/>
      <c r="UQN300" s="208"/>
      <c r="UQO300" s="208"/>
      <c r="UQP300" s="208"/>
      <c r="UQQ300" s="208"/>
      <c r="UQR300" s="208"/>
      <c r="UQS300" s="208"/>
      <c r="UQT300" s="208"/>
      <c r="UQU300" s="208"/>
      <c r="UQV300" s="208"/>
      <c r="UQW300" s="208"/>
      <c r="UQX300" s="208"/>
      <c r="UQY300" s="208"/>
      <c r="UQZ300" s="208"/>
      <c r="URA300" s="208"/>
      <c r="URB300" s="208"/>
      <c r="URC300" s="208"/>
      <c r="URD300" s="208"/>
      <c r="URE300" s="208"/>
      <c r="URF300" s="208"/>
      <c r="URG300" s="208"/>
      <c r="URH300" s="208"/>
      <c r="URI300" s="208"/>
      <c r="URJ300" s="208"/>
      <c r="URK300" s="208"/>
      <c r="URL300" s="208"/>
      <c r="URM300" s="208"/>
      <c r="URN300" s="208"/>
      <c r="URO300" s="208"/>
      <c r="URP300" s="208"/>
      <c r="URQ300" s="208"/>
      <c r="URR300" s="208"/>
      <c r="URS300" s="208"/>
      <c r="URT300" s="208"/>
      <c r="URU300" s="208"/>
      <c r="URV300" s="208"/>
      <c r="URW300" s="208"/>
      <c r="URX300" s="208"/>
      <c r="URY300" s="208"/>
      <c r="URZ300" s="208"/>
      <c r="USA300" s="208"/>
      <c r="USB300" s="208"/>
      <c r="USC300" s="208"/>
      <c r="USD300" s="208"/>
      <c r="USE300" s="208"/>
      <c r="USF300" s="208"/>
      <c r="USG300" s="208"/>
      <c r="USH300" s="208"/>
      <c r="USI300" s="208"/>
      <c r="USJ300" s="208"/>
      <c r="USK300" s="208"/>
      <c r="USL300" s="208"/>
      <c r="USM300" s="208"/>
      <c r="USN300" s="208"/>
      <c r="USO300" s="208"/>
      <c r="USP300" s="208"/>
      <c r="USQ300" s="208"/>
      <c r="USR300" s="208"/>
      <c r="USS300" s="208"/>
      <c r="UST300" s="208"/>
      <c r="USU300" s="208"/>
      <c r="USV300" s="208"/>
      <c r="USW300" s="208"/>
      <c r="USX300" s="208"/>
      <c r="USY300" s="208"/>
      <c r="USZ300" s="208"/>
      <c r="UTA300" s="208"/>
      <c r="UTB300" s="208"/>
      <c r="UTC300" s="208"/>
      <c r="UTD300" s="208"/>
      <c r="UTE300" s="208"/>
      <c r="UTF300" s="208"/>
      <c r="UTG300" s="208"/>
      <c r="UTH300" s="208"/>
      <c r="UTI300" s="208"/>
      <c r="UTJ300" s="208"/>
      <c r="UTK300" s="208"/>
      <c r="UTL300" s="208"/>
      <c r="UTM300" s="208"/>
      <c r="UTN300" s="208"/>
      <c r="UTO300" s="208"/>
      <c r="UTP300" s="208"/>
      <c r="UTQ300" s="208"/>
      <c r="UTR300" s="208"/>
      <c r="UTS300" s="208"/>
      <c r="UTT300" s="208"/>
      <c r="UTU300" s="208"/>
      <c r="UTV300" s="208"/>
      <c r="UTW300" s="208"/>
      <c r="UTX300" s="208"/>
      <c r="UTY300" s="208"/>
      <c r="UTZ300" s="208"/>
      <c r="UUA300" s="208"/>
      <c r="UUB300" s="208"/>
      <c r="UUC300" s="208"/>
      <c r="UUD300" s="208"/>
      <c r="UUE300" s="208"/>
      <c r="UUF300" s="208"/>
      <c r="UUG300" s="208"/>
      <c r="UUH300" s="208"/>
      <c r="UUI300" s="208"/>
      <c r="UUJ300" s="208"/>
      <c r="UUK300" s="208"/>
      <c r="UUL300" s="208"/>
      <c r="UUM300" s="208"/>
      <c r="UUN300" s="208"/>
      <c r="UUO300" s="208"/>
      <c r="UUP300" s="208"/>
      <c r="UUQ300" s="208"/>
      <c r="UUR300" s="208"/>
      <c r="UUS300" s="208"/>
      <c r="UUT300" s="208"/>
      <c r="UUU300" s="208"/>
      <c r="UUV300" s="208"/>
      <c r="UUW300" s="208"/>
      <c r="UUX300" s="208"/>
      <c r="UUY300" s="208"/>
      <c r="UUZ300" s="208"/>
      <c r="UVA300" s="208"/>
      <c r="UVB300" s="208"/>
      <c r="UVC300" s="208"/>
      <c r="UVD300" s="208"/>
      <c r="UVE300" s="208"/>
      <c r="UVF300" s="208"/>
      <c r="UVG300" s="208"/>
      <c r="UVH300" s="208"/>
      <c r="UVI300" s="208"/>
      <c r="UVJ300" s="208"/>
      <c r="UVK300" s="208"/>
      <c r="UVL300" s="208"/>
      <c r="UVM300" s="208"/>
      <c r="UVN300" s="208"/>
      <c r="UVO300" s="208"/>
      <c r="UVP300" s="208"/>
      <c r="UVQ300" s="208"/>
      <c r="UVR300" s="208"/>
      <c r="UVS300" s="208"/>
      <c r="UVT300" s="208"/>
      <c r="UVU300" s="208"/>
      <c r="UVV300" s="208"/>
      <c r="UVW300" s="208"/>
      <c r="UVX300" s="208"/>
      <c r="UVY300" s="208"/>
      <c r="UVZ300" s="208"/>
      <c r="UWA300" s="208"/>
      <c r="UWB300" s="208"/>
      <c r="UWC300" s="208"/>
      <c r="UWD300" s="208"/>
      <c r="UWE300" s="208"/>
      <c r="UWF300" s="208"/>
      <c r="UWG300" s="208"/>
      <c r="UWH300" s="208"/>
      <c r="UWI300" s="208"/>
      <c r="UWJ300" s="208"/>
      <c r="UWK300" s="208"/>
      <c r="UWL300" s="208"/>
      <c r="UWM300" s="208"/>
      <c r="UWN300" s="208"/>
      <c r="UWO300" s="208"/>
      <c r="UWP300" s="208"/>
      <c r="UWQ300" s="208"/>
      <c r="UWR300" s="208"/>
      <c r="UWS300" s="208"/>
      <c r="UWT300" s="208"/>
      <c r="UWU300" s="208"/>
      <c r="UWV300" s="208"/>
      <c r="UWW300" s="208"/>
      <c r="UWX300" s="208"/>
      <c r="UWY300" s="208"/>
      <c r="UWZ300" s="208"/>
      <c r="UXA300" s="208"/>
      <c r="UXB300" s="208"/>
      <c r="UXC300" s="208"/>
      <c r="UXD300" s="208"/>
      <c r="UXE300" s="208"/>
      <c r="UXF300" s="208"/>
      <c r="UXG300" s="208"/>
      <c r="UXH300" s="208"/>
      <c r="UXI300" s="208"/>
      <c r="UXJ300" s="208"/>
      <c r="UXK300" s="208"/>
      <c r="UXL300" s="208"/>
      <c r="UXM300" s="208"/>
      <c r="UXN300" s="208"/>
      <c r="UXO300" s="208"/>
      <c r="UXP300" s="208"/>
      <c r="UXQ300" s="208"/>
      <c r="UXR300" s="208"/>
      <c r="UXS300" s="208"/>
      <c r="UXT300" s="208"/>
      <c r="UXU300" s="208"/>
      <c r="UXV300" s="208"/>
      <c r="UXW300" s="208"/>
      <c r="UXX300" s="208"/>
      <c r="UXY300" s="208"/>
      <c r="UXZ300" s="208"/>
      <c r="UYA300" s="208"/>
      <c r="UYB300" s="208"/>
      <c r="UYC300" s="208"/>
      <c r="UYD300" s="208"/>
      <c r="UYE300" s="208"/>
      <c r="UYF300" s="208"/>
      <c r="UYG300" s="208"/>
      <c r="UYH300" s="208"/>
      <c r="UYI300" s="208"/>
      <c r="UYJ300" s="208"/>
      <c r="UYK300" s="208"/>
      <c r="UYL300" s="208"/>
      <c r="UYM300" s="208"/>
      <c r="UYN300" s="208"/>
      <c r="UYO300" s="208"/>
      <c r="UYP300" s="208"/>
      <c r="UYQ300" s="208"/>
      <c r="UYR300" s="208"/>
      <c r="UYS300" s="208"/>
      <c r="UYT300" s="208"/>
      <c r="UYU300" s="208"/>
      <c r="UYV300" s="208"/>
      <c r="UYW300" s="208"/>
      <c r="UYX300" s="208"/>
      <c r="UYY300" s="208"/>
      <c r="UYZ300" s="208"/>
      <c r="UZA300" s="208"/>
      <c r="UZB300" s="208"/>
      <c r="UZC300" s="208"/>
      <c r="UZD300" s="208"/>
      <c r="UZE300" s="208"/>
      <c r="UZF300" s="208"/>
      <c r="UZG300" s="208"/>
      <c r="UZH300" s="208"/>
      <c r="UZI300" s="208"/>
      <c r="UZJ300" s="208"/>
      <c r="UZK300" s="208"/>
      <c r="UZL300" s="208"/>
      <c r="UZM300" s="208"/>
      <c r="UZN300" s="208"/>
      <c r="UZO300" s="208"/>
      <c r="UZP300" s="208"/>
      <c r="UZQ300" s="208"/>
      <c r="UZR300" s="208"/>
      <c r="UZS300" s="208"/>
      <c r="UZT300" s="208"/>
      <c r="UZU300" s="208"/>
      <c r="UZV300" s="208"/>
      <c r="UZW300" s="208"/>
      <c r="UZX300" s="208"/>
      <c r="UZY300" s="208"/>
      <c r="UZZ300" s="208"/>
      <c r="VAA300" s="208"/>
      <c r="VAB300" s="208"/>
      <c r="VAC300" s="208"/>
      <c r="VAD300" s="208"/>
      <c r="VAE300" s="208"/>
      <c r="VAF300" s="208"/>
      <c r="VAG300" s="208"/>
      <c r="VAH300" s="208"/>
      <c r="VAI300" s="208"/>
      <c r="VAJ300" s="208"/>
      <c r="VAK300" s="208"/>
      <c r="VAL300" s="208"/>
      <c r="VAM300" s="208"/>
      <c r="VAN300" s="208"/>
      <c r="VAO300" s="208"/>
      <c r="VAP300" s="208"/>
      <c r="VAQ300" s="208"/>
      <c r="VAR300" s="208"/>
      <c r="VAS300" s="208"/>
      <c r="VAT300" s="208"/>
      <c r="VAU300" s="208"/>
      <c r="VAV300" s="208"/>
      <c r="VAW300" s="208"/>
      <c r="VAX300" s="208"/>
      <c r="VAY300" s="208"/>
      <c r="VAZ300" s="208"/>
      <c r="VBA300" s="208"/>
      <c r="VBB300" s="208"/>
      <c r="VBC300" s="208"/>
      <c r="VBD300" s="208"/>
      <c r="VBE300" s="208"/>
      <c r="VBF300" s="208"/>
      <c r="VBG300" s="208"/>
      <c r="VBH300" s="208"/>
      <c r="VBI300" s="208"/>
      <c r="VBJ300" s="208"/>
      <c r="VBK300" s="208"/>
      <c r="VBL300" s="208"/>
      <c r="VBM300" s="208"/>
      <c r="VBN300" s="208"/>
      <c r="VBO300" s="208"/>
      <c r="VBP300" s="208"/>
      <c r="VBQ300" s="208"/>
      <c r="VBR300" s="208"/>
      <c r="VBS300" s="208"/>
      <c r="VBT300" s="208"/>
      <c r="VBU300" s="208"/>
      <c r="VBV300" s="208"/>
      <c r="VBW300" s="208"/>
      <c r="VBX300" s="208"/>
      <c r="VBY300" s="208"/>
      <c r="VBZ300" s="208"/>
      <c r="VCA300" s="208"/>
      <c r="VCB300" s="208"/>
      <c r="VCC300" s="208"/>
      <c r="VCD300" s="208"/>
      <c r="VCE300" s="208"/>
      <c r="VCF300" s="208"/>
      <c r="VCG300" s="208"/>
      <c r="VCH300" s="208"/>
      <c r="VCI300" s="208"/>
      <c r="VCJ300" s="208"/>
      <c r="VCK300" s="208"/>
      <c r="VCL300" s="208"/>
      <c r="VCM300" s="208"/>
      <c r="VCN300" s="208"/>
      <c r="VCO300" s="208"/>
      <c r="VCP300" s="208"/>
      <c r="VCQ300" s="208"/>
      <c r="VCR300" s="208"/>
      <c r="VCS300" s="208"/>
      <c r="VCT300" s="208"/>
      <c r="VCU300" s="208"/>
      <c r="VCV300" s="208"/>
      <c r="VCW300" s="208"/>
      <c r="VCX300" s="208"/>
      <c r="VCY300" s="208"/>
      <c r="VCZ300" s="208"/>
      <c r="VDA300" s="208"/>
      <c r="VDB300" s="208"/>
      <c r="VDC300" s="208"/>
      <c r="VDD300" s="208"/>
      <c r="VDE300" s="208"/>
      <c r="VDF300" s="208"/>
      <c r="VDG300" s="208"/>
      <c r="VDH300" s="208"/>
      <c r="VDI300" s="208"/>
      <c r="VDJ300" s="208"/>
      <c r="VDK300" s="208"/>
      <c r="VDL300" s="208"/>
      <c r="VDM300" s="208"/>
      <c r="VDN300" s="208"/>
      <c r="VDO300" s="208"/>
      <c r="VDP300" s="208"/>
      <c r="VDQ300" s="208"/>
      <c r="VDR300" s="208"/>
      <c r="VDS300" s="208"/>
      <c r="VDT300" s="208"/>
      <c r="VDU300" s="208"/>
      <c r="VDV300" s="208"/>
      <c r="VDW300" s="208"/>
      <c r="VDX300" s="208"/>
      <c r="VDY300" s="208"/>
      <c r="VDZ300" s="208"/>
      <c r="VEA300" s="208"/>
      <c r="VEB300" s="208"/>
      <c r="VEC300" s="208"/>
      <c r="VED300" s="208"/>
      <c r="VEE300" s="208"/>
      <c r="VEF300" s="208"/>
      <c r="VEG300" s="208"/>
      <c r="VEH300" s="208"/>
      <c r="VEI300" s="208"/>
      <c r="VEJ300" s="208"/>
      <c r="VEK300" s="208"/>
      <c r="VEL300" s="208"/>
      <c r="VEM300" s="208"/>
      <c r="VEN300" s="208"/>
      <c r="VEO300" s="208"/>
      <c r="VEP300" s="208"/>
      <c r="VEQ300" s="208"/>
      <c r="VER300" s="208"/>
      <c r="VES300" s="208"/>
      <c r="VET300" s="208"/>
      <c r="VEU300" s="208"/>
      <c r="VEV300" s="208"/>
      <c r="VEW300" s="208"/>
      <c r="VEX300" s="208"/>
      <c r="VEY300" s="208"/>
      <c r="VEZ300" s="208"/>
      <c r="VFA300" s="208"/>
      <c r="VFB300" s="208"/>
      <c r="VFC300" s="208"/>
      <c r="VFD300" s="208"/>
      <c r="VFE300" s="208"/>
      <c r="VFF300" s="208"/>
      <c r="VFG300" s="208"/>
      <c r="VFH300" s="208"/>
      <c r="VFI300" s="208"/>
      <c r="VFJ300" s="208"/>
      <c r="VFK300" s="208"/>
      <c r="VFL300" s="208"/>
      <c r="VFM300" s="208"/>
      <c r="VFN300" s="208"/>
      <c r="VFO300" s="208"/>
      <c r="VFP300" s="208"/>
      <c r="VFQ300" s="208"/>
      <c r="VFR300" s="208"/>
      <c r="VFS300" s="208"/>
      <c r="VFT300" s="208"/>
      <c r="VFU300" s="208"/>
      <c r="VFV300" s="208"/>
      <c r="VFW300" s="208"/>
      <c r="VFX300" s="208"/>
      <c r="VFY300" s="208"/>
      <c r="VFZ300" s="208"/>
      <c r="VGA300" s="208"/>
      <c r="VGB300" s="208"/>
      <c r="VGC300" s="208"/>
      <c r="VGD300" s="208"/>
      <c r="VGE300" s="208"/>
      <c r="VGF300" s="208"/>
      <c r="VGG300" s="208"/>
      <c r="VGH300" s="208"/>
      <c r="VGI300" s="208"/>
      <c r="VGJ300" s="208"/>
      <c r="VGK300" s="208"/>
      <c r="VGL300" s="208"/>
      <c r="VGM300" s="208"/>
      <c r="VGN300" s="208"/>
      <c r="VGO300" s="208"/>
      <c r="VGP300" s="208"/>
      <c r="VGQ300" s="208"/>
      <c r="VGR300" s="208"/>
      <c r="VGS300" s="208"/>
      <c r="VGT300" s="208"/>
      <c r="VGU300" s="208"/>
      <c r="VGV300" s="208"/>
      <c r="VGW300" s="208"/>
      <c r="VGX300" s="208"/>
      <c r="VGY300" s="208"/>
      <c r="VGZ300" s="208"/>
      <c r="VHA300" s="208"/>
      <c r="VHB300" s="208"/>
      <c r="VHC300" s="208"/>
      <c r="VHD300" s="208"/>
      <c r="VHE300" s="208"/>
      <c r="VHF300" s="208"/>
      <c r="VHG300" s="208"/>
      <c r="VHH300" s="208"/>
      <c r="VHI300" s="208"/>
      <c r="VHJ300" s="208"/>
      <c r="VHK300" s="208"/>
      <c r="VHL300" s="208"/>
      <c r="VHM300" s="208"/>
      <c r="VHN300" s="208"/>
      <c r="VHO300" s="208"/>
      <c r="VHP300" s="208"/>
      <c r="VHQ300" s="208"/>
      <c r="VHR300" s="208"/>
      <c r="VHS300" s="208"/>
      <c r="VHT300" s="208"/>
      <c r="VHU300" s="208"/>
      <c r="VHV300" s="208"/>
      <c r="VHW300" s="208"/>
      <c r="VHX300" s="208"/>
      <c r="VHY300" s="208"/>
      <c r="VHZ300" s="208"/>
      <c r="VIA300" s="208"/>
      <c r="VIB300" s="208"/>
      <c r="VIC300" s="208"/>
      <c r="VID300" s="208"/>
      <c r="VIE300" s="208"/>
      <c r="VIF300" s="208"/>
      <c r="VIG300" s="208"/>
      <c r="VIH300" s="208"/>
      <c r="VII300" s="208"/>
      <c r="VIJ300" s="208"/>
      <c r="VIK300" s="208"/>
      <c r="VIL300" s="208"/>
      <c r="VIM300" s="208"/>
      <c r="VIN300" s="208"/>
      <c r="VIO300" s="208"/>
      <c r="VIP300" s="208"/>
      <c r="VIQ300" s="208"/>
      <c r="VIR300" s="208"/>
      <c r="VIS300" s="208"/>
      <c r="VIT300" s="208"/>
      <c r="VIU300" s="208"/>
      <c r="VIV300" s="208"/>
      <c r="VIW300" s="208"/>
      <c r="VIX300" s="208"/>
      <c r="VIY300" s="208"/>
      <c r="VIZ300" s="208"/>
      <c r="VJA300" s="208"/>
      <c r="VJB300" s="208"/>
      <c r="VJC300" s="208"/>
      <c r="VJD300" s="208"/>
      <c r="VJE300" s="208"/>
      <c r="VJF300" s="208"/>
      <c r="VJG300" s="208"/>
      <c r="VJH300" s="208"/>
      <c r="VJI300" s="208"/>
      <c r="VJJ300" s="208"/>
      <c r="VJK300" s="208"/>
      <c r="VJL300" s="208"/>
      <c r="VJM300" s="208"/>
      <c r="VJN300" s="208"/>
      <c r="VJO300" s="208"/>
      <c r="VJP300" s="208"/>
      <c r="VJQ300" s="208"/>
      <c r="VJR300" s="208"/>
      <c r="VJS300" s="208"/>
      <c r="VJT300" s="208"/>
      <c r="VJU300" s="208"/>
      <c r="VJV300" s="208"/>
      <c r="VJW300" s="208"/>
      <c r="VJX300" s="208"/>
      <c r="VJY300" s="208"/>
      <c r="VJZ300" s="208"/>
      <c r="VKA300" s="208"/>
      <c r="VKB300" s="208"/>
      <c r="VKC300" s="208"/>
      <c r="VKD300" s="208"/>
      <c r="VKE300" s="208"/>
      <c r="VKF300" s="208"/>
      <c r="VKG300" s="208"/>
      <c r="VKH300" s="208"/>
      <c r="VKI300" s="208"/>
      <c r="VKJ300" s="208"/>
      <c r="VKK300" s="208"/>
      <c r="VKL300" s="208"/>
      <c r="VKM300" s="208"/>
      <c r="VKN300" s="208"/>
      <c r="VKO300" s="208"/>
      <c r="VKP300" s="208"/>
      <c r="VKQ300" s="208"/>
      <c r="VKR300" s="208"/>
      <c r="VKS300" s="208"/>
      <c r="VKT300" s="208"/>
      <c r="VKU300" s="208"/>
      <c r="VKV300" s="208"/>
      <c r="VKW300" s="208"/>
      <c r="VKX300" s="208"/>
      <c r="VKY300" s="208"/>
      <c r="VKZ300" s="208"/>
      <c r="VLA300" s="208"/>
      <c r="VLB300" s="208"/>
      <c r="VLC300" s="208"/>
      <c r="VLD300" s="208"/>
      <c r="VLE300" s="208"/>
      <c r="VLF300" s="208"/>
      <c r="VLG300" s="208"/>
      <c r="VLH300" s="208"/>
      <c r="VLI300" s="208"/>
      <c r="VLJ300" s="208"/>
      <c r="VLK300" s="208"/>
      <c r="VLL300" s="208"/>
      <c r="VLM300" s="208"/>
      <c r="VLN300" s="208"/>
      <c r="VLO300" s="208"/>
      <c r="VLP300" s="208"/>
      <c r="VLQ300" s="208"/>
      <c r="VLR300" s="208"/>
      <c r="VLS300" s="208"/>
      <c r="VLT300" s="208"/>
      <c r="VLU300" s="208"/>
      <c r="VLV300" s="208"/>
      <c r="VLW300" s="208"/>
      <c r="VLX300" s="208"/>
      <c r="VLY300" s="208"/>
      <c r="VLZ300" s="208"/>
      <c r="VMA300" s="208"/>
      <c r="VMB300" s="208"/>
      <c r="VMC300" s="208"/>
      <c r="VMD300" s="208"/>
      <c r="VME300" s="208"/>
      <c r="VMF300" s="208"/>
      <c r="VMG300" s="208"/>
      <c r="VMH300" s="208"/>
      <c r="VMI300" s="208"/>
      <c r="VMJ300" s="208"/>
      <c r="VMK300" s="208"/>
      <c r="VML300" s="208"/>
      <c r="VMM300" s="208"/>
      <c r="VMN300" s="208"/>
      <c r="VMO300" s="208"/>
      <c r="VMP300" s="208"/>
      <c r="VMQ300" s="208"/>
      <c r="VMR300" s="208"/>
      <c r="VMS300" s="208"/>
      <c r="VMT300" s="208"/>
      <c r="VMU300" s="208"/>
      <c r="VMV300" s="208"/>
      <c r="VMW300" s="208"/>
      <c r="VMX300" s="208"/>
      <c r="VMY300" s="208"/>
      <c r="VMZ300" s="208"/>
      <c r="VNA300" s="208"/>
      <c r="VNB300" s="208"/>
      <c r="VNC300" s="208"/>
      <c r="VND300" s="208"/>
      <c r="VNE300" s="208"/>
      <c r="VNF300" s="208"/>
      <c r="VNG300" s="208"/>
      <c r="VNH300" s="208"/>
      <c r="VNI300" s="208"/>
      <c r="VNJ300" s="208"/>
      <c r="VNK300" s="208"/>
      <c r="VNL300" s="208"/>
      <c r="VNM300" s="208"/>
      <c r="VNN300" s="208"/>
      <c r="VNO300" s="208"/>
      <c r="VNP300" s="208"/>
      <c r="VNQ300" s="208"/>
      <c r="VNR300" s="208"/>
      <c r="VNS300" s="208"/>
      <c r="VNT300" s="208"/>
      <c r="VNU300" s="208"/>
      <c r="VNV300" s="208"/>
      <c r="VNW300" s="208"/>
      <c r="VNX300" s="208"/>
      <c r="VNY300" s="208"/>
      <c r="VNZ300" s="208"/>
      <c r="VOA300" s="208"/>
      <c r="VOB300" s="208"/>
      <c r="VOC300" s="208"/>
      <c r="VOD300" s="208"/>
      <c r="VOE300" s="208"/>
      <c r="VOF300" s="208"/>
      <c r="VOG300" s="208"/>
      <c r="VOH300" s="208"/>
      <c r="VOI300" s="208"/>
      <c r="VOJ300" s="208"/>
      <c r="VOK300" s="208"/>
      <c r="VOL300" s="208"/>
      <c r="VOM300" s="208"/>
      <c r="VON300" s="208"/>
      <c r="VOO300" s="208"/>
      <c r="VOP300" s="208"/>
      <c r="VOQ300" s="208"/>
      <c r="VOR300" s="208"/>
      <c r="VOS300" s="208"/>
      <c r="VOT300" s="208"/>
      <c r="VOU300" s="208"/>
      <c r="VOV300" s="208"/>
      <c r="VOW300" s="208"/>
      <c r="VOX300" s="208"/>
      <c r="VOY300" s="208"/>
      <c r="VOZ300" s="208"/>
      <c r="VPA300" s="208"/>
      <c r="VPB300" s="208"/>
      <c r="VPC300" s="208"/>
      <c r="VPD300" s="208"/>
      <c r="VPE300" s="208"/>
      <c r="VPF300" s="208"/>
      <c r="VPG300" s="208"/>
      <c r="VPH300" s="208"/>
      <c r="VPI300" s="208"/>
      <c r="VPJ300" s="208"/>
      <c r="VPK300" s="208"/>
      <c r="VPL300" s="208"/>
      <c r="VPM300" s="208"/>
      <c r="VPN300" s="208"/>
      <c r="VPO300" s="208"/>
      <c r="VPP300" s="208"/>
      <c r="VPQ300" s="208"/>
      <c r="VPR300" s="208"/>
      <c r="VPS300" s="208"/>
      <c r="VPT300" s="208"/>
      <c r="VPU300" s="208"/>
      <c r="VPV300" s="208"/>
      <c r="VPW300" s="208"/>
      <c r="VPX300" s="208"/>
      <c r="VPY300" s="208"/>
      <c r="VPZ300" s="208"/>
      <c r="VQA300" s="208"/>
      <c r="VQB300" s="208"/>
      <c r="VQC300" s="208"/>
      <c r="VQD300" s="208"/>
      <c r="VQE300" s="208"/>
      <c r="VQF300" s="208"/>
      <c r="VQG300" s="208"/>
      <c r="VQH300" s="208"/>
      <c r="VQI300" s="208"/>
      <c r="VQJ300" s="208"/>
      <c r="VQK300" s="208"/>
      <c r="VQL300" s="208"/>
      <c r="VQM300" s="208"/>
      <c r="VQN300" s="208"/>
      <c r="VQO300" s="208"/>
      <c r="VQP300" s="208"/>
      <c r="VQQ300" s="208"/>
      <c r="VQR300" s="208"/>
      <c r="VQS300" s="208"/>
      <c r="VQT300" s="208"/>
      <c r="VQU300" s="208"/>
      <c r="VQV300" s="208"/>
      <c r="VQW300" s="208"/>
      <c r="VQX300" s="208"/>
      <c r="VQY300" s="208"/>
      <c r="VQZ300" s="208"/>
      <c r="VRA300" s="208"/>
      <c r="VRB300" s="208"/>
      <c r="VRC300" s="208"/>
      <c r="VRD300" s="208"/>
      <c r="VRE300" s="208"/>
      <c r="VRF300" s="208"/>
      <c r="VRG300" s="208"/>
      <c r="VRH300" s="208"/>
      <c r="VRI300" s="208"/>
      <c r="VRJ300" s="208"/>
      <c r="VRK300" s="208"/>
      <c r="VRL300" s="208"/>
      <c r="VRM300" s="208"/>
      <c r="VRN300" s="208"/>
      <c r="VRO300" s="208"/>
      <c r="VRP300" s="208"/>
      <c r="VRQ300" s="208"/>
      <c r="VRR300" s="208"/>
      <c r="VRS300" s="208"/>
      <c r="VRT300" s="208"/>
      <c r="VRU300" s="208"/>
      <c r="VRV300" s="208"/>
      <c r="VRW300" s="208"/>
      <c r="VRX300" s="208"/>
      <c r="VRY300" s="208"/>
      <c r="VRZ300" s="208"/>
      <c r="VSA300" s="208"/>
      <c r="VSB300" s="208"/>
      <c r="VSC300" s="208"/>
      <c r="VSD300" s="208"/>
      <c r="VSE300" s="208"/>
      <c r="VSF300" s="208"/>
      <c r="VSG300" s="208"/>
      <c r="VSH300" s="208"/>
      <c r="VSI300" s="208"/>
      <c r="VSJ300" s="208"/>
      <c r="VSK300" s="208"/>
      <c r="VSL300" s="208"/>
      <c r="VSM300" s="208"/>
      <c r="VSN300" s="208"/>
      <c r="VSO300" s="208"/>
      <c r="VSP300" s="208"/>
      <c r="VSQ300" s="208"/>
      <c r="VSR300" s="208"/>
      <c r="VSS300" s="208"/>
      <c r="VST300" s="208"/>
      <c r="VSU300" s="208"/>
      <c r="VSV300" s="208"/>
      <c r="VSW300" s="208"/>
      <c r="VSX300" s="208"/>
      <c r="VSY300" s="208"/>
      <c r="VSZ300" s="208"/>
      <c r="VTA300" s="208"/>
      <c r="VTB300" s="208"/>
      <c r="VTC300" s="208"/>
      <c r="VTD300" s="208"/>
      <c r="VTE300" s="208"/>
      <c r="VTF300" s="208"/>
      <c r="VTG300" s="208"/>
      <c r="VTH300" s="208"/>
      <c r="VTI300" s="208"/>
      <c r="VTJ300" s="208"/>
      <c r="VTK300" s="208"/>
      <c r="VTL300" s="208"/>
      <c r="VTM300" s="208"/>
      <c r="VTN300" s="208"/>
      <c r="VTO300" s="208"/>
      <c r="VTP300" s="208"/>
      <c r="VTQ300" s="208"/>
      <c r="VTR300" s="208"/>
      <c r="VTS300" s="208"/>
      <c r="VTT300" s="208"/>
      <c r="VTU300" s="208"/>
      <c r="VTV300" s="208"/>
      <c r="VTW300" s="208"/>
      <c r="VTX300" s="208"/>
      <c r="VTY300" s="208"/>
      <c r="VTZ300" s="208"/>
      <c r="VUA300" s="208"/>
      <c r="VUB300" s="208"/>
      <c r="VUC300" s="208"/>
      <c r="VUD300" s="208"/>
      <c r="VUE300" s="208"/>
      <c r="VUF300" s="208"/>
      <c r="VUG300" s="208"/>
      <c r="VUH300" s="208"/>
      <c r="VUI300" s="208"/>
      <c r="VUJ300" s="208"/>
      <c r="VUK300" s="208"/>
      <c r="VUL300" s="208"/>
      <c r="VUM300" s="208"/>
      <c r="VUN300" s="208"/>
      <c r="VUO300" s="208"/>
      <c r="VUP300" s="208"/>
      <c r="VUQ300" s="208"/>
      <c r="VUR300" s="208"/>
      <c r="VUS300" s="208"/>
      <c r="VUT300" s="208"/>
      <c r="VUU300" s="208"/>
      <c r="VUV300" s="208"/>
      <c r="VUW300" s="208"/>
      <c r="VUX300" s="208"/>
      <c r="VUY300" s="208"/>
      <c r="VUZ300" s="208"/>
      <c r="VVA300" s="208"/>
      <c r="VVB300" s="208"/>
      <c r="VVC300" s="208"/>
      <c r="VVD300" s="208"/>
      <c r="VVE300" s="208"/>
      <c r="VVF300" s="208"/>
      <c r="VVG300" s="208"/>
      <c r="VVH300" s="208"/>
      <c r="VVI300" s="208"/>
      <c r="VVJ300" s="208"/>
      <c r="VVK300" s="208"/>
      <c r="VVL300" s="208"/>
      <c r="VVM300" s="208"/>
      <c r="VVN300" s="208"/>
      <c r="VVO300" s="208"/>
      <c r="VVP300" s="208"/>
      <c r="VVQ300" s="208"/>
      <c r="VVR300" s="208"/>
      <c r="VVS300" s="208"/>
      <c r="VVT300" s="208"/>
      <c r="VVU300" s="208"/>
      <c r="VVV300" s="208"/>
      <c r="VVW300" s="208"/>
      <c r="VVX300" s="208"/>
      <c r="VVY300" s="208"/>
      <c r="VVZ300" s="208"/>
      <c r="VWA300" s="208"/>
      <c r="VWB300" s="208"/>
      <c r="VWC300" s="208"/>
      <c r="VWD300" s="208"/>
      <c r="VWE300" s="208"/>
      <c r="VWF300" s="208"/>
      <c r="VWG300" s="208"/>
      <c r="VWH300" s="208"/>
      <c r="VWI300" s="208"/>
      <c r="VWJ300" s="208"/>
      <c r="VWK300" s="208"/>
      <c r="VWL300" s="208"/>
      <c r="VWM300" s="208"/>
      <c r="VWN300" s="208"/>
      <c r="VWO300" s="208"/>
      <c r="VWP300" s="208"/>
      <c r="VWQ300" s="208"/>
      <c r="VWR300" s="208"/>
      <c r="VWS300" s="208"/>
      <c r="VWT300" s="208"/>
      <c r="VWU300" s="208"/>
      <c r="VWV300" s="208"/>
      <c r="VWW300" s="208"/>
      <c r="VWX300" s="208"/>
      <c r="VWY300" s="208"/>
      <c r="VWZ300" s="208"/>
      <c r="VXA300" s="208"/>
      <c r="VXB300" s="208"/>
      <c r="VXC300" s="208"/>
      <c r="VXD300" s="208"/>
      <c r="VXE300" s="208"/>
      <c r="VXF300" s="208"/>
      <c r="VXG300" s="208"/>
      <c r="VXH300" s="208"/>
      <c r="VXI300" s="208"/>
      <c r="VXJ300" s="208"/>
      <c r="VXK300" s="208"/>
      <c r="VXL300" s="208"/>
      <c r="VXM300" s="208"/>
      <c r="VXN300" s="208"/>
      <c r="VXO300" s="208"/>
      <c r="VXP300" s="208"/>
      <c r="VXQ300" s="208"/>
      <c r="VXR300" s="208"/>
      <c r="VXS300" s="208"/>
      <c r="VXT300" s="208"/>
      <c r="VXU300" s="208"/>
      <c r="VXV300" s="208"/>
      <c r="VXW300" s="208"/>
      <c r="VXX300" s="208"/>
      <c r="VXY300" s="208"/>
      <c r="VXZ300" s="208"/>
      <c r="VYA300" s="208"/>
      <c r="VYB300" s="208"/>
      <c r="VYC300" s="208"/>
      <c r="VYD300" s="208"/>
      <c r="VYE300" s="208"/>
      <c r="VYF300" s="208"/>
      <c r="VYG300" s="208"/>
      <c r="VYH300" s="208"/>
      <c r="VYI300" s="208"/>
      <c r="VYJ300" s="208"/>
      <c r="VYK300" s="208"/>
      <c r="VYL300" s="208"/>
      <c r="VYM300" s="208"/>
      <c r="VYN300" s="208"/>
      <c r="VYO300" s="208"/>
      <c r="VYP300" s="208"/>
      <c r="VYQ300" s="208"/>
      <c r="VYR300" s="208"/>
      <c r="VYS300" s="208"/>
      <c r="VYT300" s="208"/>
      <c r="VYU300" s="208"/>
      <c r="VYV300" s="208"/>
      <c r="VYW300" s="208"/>
      <c r="VYX300" s="208"/>
      <c r="VYY300" s="208"/>
      <c r="VYZ300" s="208"/>
      <c r="VZA300" s="208"/>
      <c r="VZB300" s="208"/>
      <c r="VZC300" s="208"/>
      <c r="VZD300" s="208"/>
      <c r="VZE300" s="208"/>
      <c r="VZF300" s="208"/>
      <c r="VZG300" s="208"/>
      <c r="VZH300" s="208"/>
      <c r="VZI300" s="208"/>
      <c r="VZJ300" s="208"/>
      <c r="VZK300" s="208"/>
      <c r="VZL300" s="208"/>
      <c r="VZM300" s="208"/>
      <c r="VZN300" s="208"/>
      <c r="VZO300" s="208"/>
      <c r="VZP300" s="208"/>
      <c r="VZQ300" s="208"/>
      <c r="VZR300" s="208"/>
      <c r="VZS300" s="208"/>
      <c r="VZT300" s="208"/>
      <c r="VZU300" s="208"/>
      <c r="VZV300" s="208"/>
      <c r="VZW300" s="208"/>
      <c r="VZX300" s="208"/>
      <c r="VZY300" s="208"/>
      <c r="VZZ300" s="208"/>
      <c r="WAA300" s="208"/>
      <c r="WAB300" s="208"/>
      <c r="WAC300" s="208"/>
      <c r="WAD300" s="208"/>
      <c r="WAE300" s="208"/>
      <c r="WAF300" s="208"/>
      <c r="WAG300" s="208"/>
      <c r="WAH300" s="208"/>
      <c r="WAI300" s="208"/>
      <c r="WAJ300" s="208"/>
      <c r="WAK300" s="208"/>
      <c r="WAL300" s="208"/>
      <c r="WAM300" s="208"/>
      <c r="WAN300" s="208"/>
      <c r="WAO300" s="208"/>
      <c r="WAP300" s="208"/>
      <c r="WAQ300" s="208"/>
      <c r="WAR300" s="208"/>
      <c r="WAS300" s="208"/>
      <c r="WAT300" s="208"/>
      <c r="WAU300" s="208"/>
      <c r="WAV300" s="208"/>
      <c r="WAW300" s="208"/>
      <c r="WAX300" s="208"/>
      <c r="WAY300" s="208"/>
      <c r="WAZ300" s="208"/>
      <c r="WBA300" s="208"/>
      <c r="WBB300" s="208"/>
      <c r="WBC300" s="208"/>
      <c r="WBD300" s="208"/>
      <c r="WBE300" s="208"/>
      <c r="WBF300" s="208"/>
      <c r="WBG300" s="208"/>
      <c r="WBH300" s="208"/>
      <c r="WBI300" s="208"/>
      <c r="WBJ300" s="208"/>
      <c r="WBK300" s="208"/>
      <c r="WBL300" s="208"/>
      <c r="WBM300" s="208"/>
      <c r="WBN300" s="208"/>
      <c r="WBO300" s="208"/>
      <c r="WBP300" s="208"/>
      <c r="WBQ300" s="208"/>
      <c r="WBR300" s="208"/>
      <c r="WBS300" s="208"/>
      <c r="WBT300" s="208"/>
      <c r="WBU300" s="208"/>
      <c r="WBV300" s="208"/>
      <c r="WBW300" s="208"/>
      <c r="WBX300" s="208"/>
      <c r="WBY300" s="208"/>
      <c r="WBZ300" s="208"/>
      <c r="WCA300" s="208"/>
      <c r="WCB300" s="208"/>
      <c r="WCC300" s="208"/>
      <c r="WCD300" s="208"/>
      <c r="WCE300" s="208"/>
      <c r="WCF300" s="208"/>
      <c r="WCG300" s="208"/>
      <c r="WCH300" s="208"/>
      <c r="WCI300" s="208"/>
      <c r="WCJ300" s="208"/>
      <c r="WCK300" s="208"/>
      <c r="WCL300" s="208"/>
      <c r="WCM300" s="208"/>
      <c r="WCN300" s="208"/>
      <c r="WCO300" s="208"/>
      <c r="WCP300" s="208"/>
      <c r="WCQ300" s="208"/>
      <c r="WCR300" s="208"/>
      <c r="WCS300" s="208"/>
      <c r="WCT300" s="208"/>
      <c r="WCU300" s="208"/>
      <c r="WCV300" s="208"/>
      <c r="WCW300" s="208"/>
      <c r="WCX300" s="208"/>
      <c r="WCY300" s="208"/>
      <c r="WCZ300" s="208"/>
      <c r="WDA300" s="208"/>
      <c r="WDB300" s="208"/>
      <c r="WDC300" s="208"/>
      <c r="WDD300" s="208"/>
      <c r="WDE300" s="208"/>
      <c r="WDF300" s="208"/>
      <c r="WDG300" s="208"/>
      <c r="WDH300" s="208"/>
      <c r="WDI300" s="208"/>
      <c r="WDJ300" s="208"/>
      <c r="WDK300" s="208"/>
      <c r="WDL300" s="208"/>
      <c r="WDM300" s="208"/>
      <c r="WDN300" s="208"/>
      <c r="WDO300" s="208"/>
      <c r="WDP300" s="208"/>
      <c r="WDQ300" s="208"/>
      <c r="WDR300" s="208"/>
      <c r="WDS300" s="208"/>
      <c r="WDT300" s="208"/>
      <c r="WDU300" s="208"/>
      <c r="WDV300" s="208"/>
      <c r="WDW300" s="208"/>
      <c r="WDX300" s="208"/>
      <c r="WDY300" s="208"/>
      <c r="WDZ300" s="208"/>
      <c r="WEA300" s="208"/>
      <c r="WEB300" s="208"/>
      <c r="WEC300" s="208"/>
      <c r="WED300" s="208"/>
      <c r="WEE300" s="208"/>
      <c r="WEF300" s="208"/>
      <c r="WEG300" s="208"/>
      <c r="WEH300" s="208"/>
      <c r="WEI300" s="208"/>
      <c r="WEJ300" s="208"/>
      <c r="WEK300" s="208"/>
      <c r="WEL300" s="208"/>
      <c r="WEM300" s="208"/>
      <c r="WEN300" s="208"/>
      <c r="WEO300" s="208"/>
      <c r="WEP300" s="208"/>
      <c r="WEQ300" s="208"/>
      <c r="WER300" s="208"/>
      <c r="WES300" s="208"/>
      <c r="WET300" s="208"/>
      <c r="WEU300" s="208"/>
      <c r="WEV300" s="208"/>
      <c r="WEW300" s="208"/>
      <c r="WEX300" s="208"/>
      <c r="WEY300" s="208"/>
      <c r="WEZ300" s="208"/>
      <c r="WFA300" s="208"/>
      <c r="WFB300" s="208"/>
      <c r="WFC300" s="208"/>
      <c r="WFD300" s="208"/>
      <c r="WFE300" s="208"/>
      <c r="WFF300" s="208"/>
      <c r="WFG300" s="208"/>
      <c r="WFH300" s="208"/>
      <c r="WFI300" s="208"/>
      <c r="WFJ300" s="208"/>
      <c r="WFK300" s="208"/>
      <c r="WFL300" s="208"/>
      <c r="WFM300" s="208"/>
      <c r="WFN300" s="208"/>
      <c r="WFO300" s="208"/>
      <c r="WFP300" s="208"/>
      <c r="WFQ300" s="208"/>
      <c r="WFR300" s="208"/>
      <c r="WFS300" s="208"/>
      <c r="WFT300" s="208"/>
      <c r="WFU300" s="208"/>
      <c r="WFV300" s="208"/>
      <c r="WFW300" s="208"/>
      <c r="WFX300" s="208"/>
      <c r="WFY300" s="208"/>
      <c r="WFZ300" s="208"/>
      <c r="WGA300" s="208"/>
      <c r="WGB300" s="208"/>
      <c r="WGC300" s="208"/>
      <c r="WGD300" s="208"/>
      <c r="WGE300" s="208"/>
      <c r="WGF300" s="208"/>
      <c r="WGG300" s="208"/>
      <c r="WGH300" s="208"/>
      <c r="WGI300" s="208"/>
      <c r="WGJ300" s="208"/>
      <c r="WGK300" s="208"/>
      <c r="WGL300" s="208"/>
      <c r="WGM300" s="208"/>
      <c r="WGN300" s="208"/>
      <c r="WGO300" s="208"/>
      <c r="WGP300" s="208"/>
      <c r="WGQ300" s="208"/>
      <c r="WGR300" s="208"/>
      <c r="WGS300" s="208"/>
      <c r="WGT300" s="208"/>
      <c r="WGU300" s="208"/>
      <c r="WGV300" s="208"/>
      <c r="WGW300" s="208"/>
      <c r="WGX300" s="208"/>
      <c r="WGY300" s="208"/>
      <c r="WGZ300" s="208"/>
      <c r="WHA300" s="208"/>
      <c r="WHB300" s="208"/>
      <c r="WHC300" s="208"/>
      <c r="WHD300" s="208"/>
      <c r="WHE300" s="208"/>
      <c r="WHF300" s="208"/>
      <c r="WHG300" s="208"/>
      <c r="WHH300" s="208"/>
      <c r="WHI300" s="208"/>
      <c r="WHJ300" s="208"/>
      <c r="WHK300" s="208"/>
      <c r="WHL300" s="208"/>
      <c r="WHM300" s="208"/>
      <c r="WHN300" s="208"/>
      <c r="WHO300" s="208"/>
      <c r="WHP300" s="208"/>
      <c r="WHQ300" s="208"/>
      <c r="WHR300" s="208"/>
      <c r="WHS300" s="208"/>
      <c r="WHT300" s="208"/>
      <c r="WHU300" s="208"/>
      <c r="WHV300" s="208"/>
      <c r="WHW300" s="208"/>
      <c r="WHX300" s="208"/>
      <c r="WHY300" s="208"/>
      <c r="WHZ300" s="208"/>
      <c r="WIA300" s="208"/>
      <c r="WIB300" s="208"/>
      <c r="WIC300" s="208"/>
      <c r="WID300" s="208"/>
      <c r="WIE300" s="208"/>
      <c r="WIF300" s="208"/>
      <c r="WIG300" s="208"/>
      <c r="WIH300" s="208"/>
      <c r="WII300" s="208"/>
      <c r="WIJ300" s="208"/>
      <c r="WIK300" s="208"/>
      <c r="WIL300" s="208"/>
      <c r="WIM300" s="208"/>
      <c r="WIN300" s="208"/>
      <c r="WIO300" s="208"/>
      <c r="WIP300" s="208"/>
      <c r="WIQ300" s="208"/>
      <c r="WIR300" s="208"/>
      <c r="WIS300" s="208"/>
      <c r="WIT300" s="208"/>
      <c r="WIU300" s="208"/>
      <c r="WIV300" s="208"/>
      <c r="WIW300" s="208"/>
      <c r="WIX300" s="208"/>
      <c r="WIY300" s="208"/>
      <c r="WIZ300" s="208"/>
      <c r="WJA300" s="208"/>
      <c r="WJB300" s="208"/>
      <c r="WJC300" s="208"/>
      <c r="WJD300" s="208"/>
      <c r="WJE300" s="208"/>
      <c r="WJF300" s="208"/>
      <c r="WJG300" s="208"/>
      <c r="WJH300" s="208"/>
      <c r="WJI300" s="208"/>
      <c r="WJJ300" s="208"/>
      <c r="WJK300" s="208"/>
      <c r="WJL300" s="208"/>
      <c r="WJM300" s="208"/>
      <c r="WJN300" s="208"/>
      <c r="WJO300" s="208"/>
      <c r="WJP300" s="208"/>
      <c r="WJQ300" s="208"/>
      <c r="WJR300" s="208"/>
      <c r="WJS300" s="208"/>
      <c r="WJT300" s="208"/>
      <c r="WJU300" s="208"/>
      <c r="WJV300" s="208"/>
      <c r="WJW300" s="208"/>
      <c r="WJX300" s="208"/>
      <c r="WJY300" s="208"/>
      <c r="WJZ300" s="208"/>
      <c r="WKA300" s="208"/>
      <c r="WKB300" s="208"/>
      <c r="WKC300" s="208"/>
      <c r="WKD300" s="208"/>
      <c r="WKE300" s="208"/>
      <c r="WKF300" s="208"/>
      <c r="WKG300" s="208"/>
      <c r="WKH300" s="208"/>
      <c r="WKI300" s="208"/>
      <c r="WKJ300" s="208"/>
      <c r="WKK300" s="208"/>
      <c r="WKL300" s="208"/>
      <c r="WKM300" s="208"/>
      <c r="WKN300" s="208"/>
      <c r="WKO300" s="208"/>
      <c r="WKP300" s="208"/>
      <c r="WKQ300" s="208"/>
      <c r="WKR300" s="208"/>
      <c r="WKS300" s="208"/>
      <c r="WKT300" s="208"/>
      <c r="WKU300" s="208"/>
      <c r="WKV300" s="208"/>
      <c r="WKW300" s="208"/>
      <c r="WKX300" s="208"/>
      <c r="WKY300" s="208"/>
      <c r="WKZ300" s="208"/>
      <c r="WLA300" s="208"/>
      <c r="WLB300" s="208"/>
      <c r="WLC300" s="208"/>
      <c r="WLD300" s="208"/>
      <c r="WLE300" s="208"/>
      <c r="WLF300" s="208"/>
      <c r="WLG300" s="208"/>
      <c r="WLH300" s="208"/>
      <c r="WLI300" s="208"/>
      <c r="WLJ300" s="208"/>
      <c r="WLK300" s="208"/>
      <c r="WLL300" s="208"/>
      <c r="WLM300" s="208"/>
      <c r="WLN300" s="208"/>
      <c r="WLO300" s="208"/>
      <c r="WLP300" s="208"/>
      <c r="WLQ300" s="208"/>
      <c r="WLR300" s="208"/>
      <c r="WLS300" s="208"/>
      <c r="WLT300" s="208"/>
      <c r="WLU300" s="208"/>
      <c r="WLV300" s="208"/>
      <c r="WLW300" s="208"/>
      <c r="WLX300" s="208"/>
      <c r="WLY300" s="208"/>
      <c r="WLZ300" s="208"/>
      <c r="WMA300" s="208"/>
      <c r="WMB300" s="208"/>
      <c r="WMC300" s="208"/>
      <c r="WMD300" s="208"/>
      <c r="WME300" s="208"/>
      <c r="WMF300" s="208"/>
      <c r="WMG300" s="208"/>
      <c r="WMH300" s="208"/>
      <c r="WMI300" s="208"/>
      <c r="WMJ300" s="208"/>
      <c r="WMK300" s="208"/>
      <c r="WML300" s="208"/>
      <c r="WMM300" s="208"/>
      <c r="WMN300" s="208"/>
      <c r="WMO300" s="208"/>
      <c r="WMP300" s="208"/>
      <c r="WMQ300" s="208"/>
      <c r="WMR300" s="208"/>
      <c r="WMS300" s="208"/>
      <c r="WMT300" s="208"/>
      <c r="WMU300" s="208"/>
      <c r="WMV300" s="208"/>
      <c r="WMW300" s="208"/>
      <c r="WMX300" s="208"/>
      <c r="WMY300" s="208"/>
      <c r="WMZ300" s="208"/>
      <c r="WNA300" s="208"/>
      <c r="WNB300" s="208"/>
      <c r="WNC300" s="208"/>
      <c r="WND300" s="208"/>
      <c r="WNE300" s="208"/>
      <c r="WNF300" s="208"/>
      <c r="WNG300" s="208"/>
      <c r="WNH300" s="208"/>
      <c r="WNI300" s="208"/>
      <c r="WNJ300" s="208"/>
      <c r="WNK300" s="208"/>
      <c r="WNL300" s="208"/>
      <c r="WNM300" s="208"/>
      <c r="WNN300" s="208"/>
      <c r="WNO300" s="208"/>
      <c r="WNP300" s="208"/>
      <c r="WNQ300" s="208"/>
      <c r="WNR300" s="208"/>
      <c r="WNS300" s="208"/>
      <c r="WNT300" s="208"/>
      <c r="WNU300" s="208"/>
      <c r="WNV300" s="208"/>
      <c r="WNW300" s="208"/>
      <c r="WNX300" s="208"/>
      <c r="WNY300" s="208"/>
      <c r="WNZ300" s="208"/>
      <c r="WOA300" s="208"/>
      <c r="WOB300" s="208"/>
      <c r="WOC300" s="208"/>
      <c r="WOD300" s="208"/>
      <c r="WOE300" s="208"/>
      <c r="WOF300" s="208"/>
      <c r="WOG300" s="208"/>
      <c r="WOH300" s="208"/>
      <c r="WOI300" s="208"/>
      <c r="WOJ300" s="208"/>
      <c r="WOK300" s="208"/>
      <c r="WOL300" s="208"/>
      <c r="WOM300" s="208"/>
      <c r="WON300" s="208"/>
      <c r="WOO300" s="208"/>
      <c r="WOP300" s="208"/>
      <c r="WOQ300" s="208"/>
      <c r="WOR300" s="208"/>
      <c r="WOS300" s="208"/>
      <c r="WOT300" s="208"/>
      <c r="WOU300" s="208"/>
      <c r="WOV300" s="208"/>
      <c r="WOW300" s="208"/>
      <c r="WOX300" s="208"/>
      <c r="WOY300" s="208"/>
      <c r="WOZ300" s="208"/>
      <c r="WPA300" s="208"/>
      <c r="WPB300" s="208"/>
      <c r="WPC300" s="208"/>
      <c r="WPD300" s="208"/>
      <c r="WPE300" s="208"/>
      <c r="WPF300" s="208"/>
      <c r="WPG300" s="208"/>
      <c r="WPH300" s="208"/>
      <c r="WPI300" s="208"/>
      <c r="WPJ300" s="208"/>
      <c r="WPK300" s="208"/>
      <c r="WPL300" s="208"/>
      <c r="WPM300" s="208"/>
      <c r="WPN300" s="208"/>
      <c r="WPO300" s="208"/>
      <c r="WPP300" s="208"/>
      <c r="WPQ300" s="208"/>
      <c r="WPR300" s="208"/>
      <c r="WPS300" s="208"/>
      <c r="WPT300" s="208"/>
      <c r="WPU300" s="208"/>
      <c r="WPV300" s="208"/>
      <c r="WPW300" s="208"/>
      <c r="WPX300" s="208"/>
      <c r="WPY300" s="208"/>
      <c r="WPZ300" s="208"/>
      <c r="WQA300" s="208"/>
      <c r="WQB300" s="208"/>
      <c r="WQC300" s="208"/>
      <c r="WQD300" s="208"/>
      <c r="WQE300" s="208"/>
      <c r="WQF300" s="208"/>
      <c r="WQG300" s="208"/>
      <c r="WQH300" s="208"/>
      <c r="WQI300" s="208"/>
      <c r="WQJ300" s="208"/>
      <c r="WQK300" s="208"/>
      <c r="WQL300" s="208"/>
      <c r="WQM300" s="208"/>
      <c r="WQN300" s="208"/>
      <c r="WQO300" s="208"/>
      <c r="WQP300" s="208"/>
      <c r="WQQ300" s="208"/>
      <c r="WQR300" s="208"/>
      <c r="WQS300" s="208"/>
      <c r="WQT300" s="208"/>
      <c r="WQU300" s="208"/>
      <c r="WQV300" s="208"/>
      <c r="WQW300" s="208"/>
      <c r="WQX300" s="208"/>
      <c r="WQY300" s="208"/>
      <c r="WQZ300" s="208"/>
      <c r="WRA300" s="208"/>
      <c r="WRB300" s="208"/>
      <c r="WRC300" s="208"/>
      <c r="WRD300" s="208"/>
      <c r="WRE300" s="208"/>
      <c r="WRF300" s="208"/>
      <c r="WRG300" s="208"/>
      <c r="WRH300" s="208"/>
      <c r="WRI300" s="208"/>
      <c r="WRJ300" s="208"/>
      <c r="WRK300" s="208"/>
      <c r="WRL300" s="208"/>
      <c r="WRM300" s="208"/>
      <c r="WRN300" s="208"/>
      <c r="WRO300" s="208"/>
      <c r="WRP300" s="208"/>
      <c r="WRQ300" s="208"/>
      <c r="WRR300" s="208"/>
      <c r="WRS300" s="208"/>
      <c r="WRT300" s="208"/>
      <c r="WRU300" s="208"/>
      <c r="WRV300" s="208"/>
      <c r="WRW300" s="208"/>
      <c r="WRX300" s="208"/>
      <c r="WRY300" s="208"/>
      <c r="WRZ300" s="208"/>
      <c r="WSA300" s="208"/>
      <c r="WSB300" s="208"/>
      <c r="WSC300" s="208"/>
      <c r="WSD300" s="208"/>
      <c r="WSE300" s="208"/>
      <c r="WSF300" s="208"/>
      <c r="WSG300" s="208"/>
      <c r="WSH300" s="208"/>
      <c r="WSI300" s="208"/>
      <c r="WSJ300" s="208"/>
      <c r="WSK300" s="208"/>
      <c r="WSL300" s="208"/>
      <c r="WSM300" s="208"/>
      <c r="WSN300" s="208"/>
      <c r="WSO300" s="208"/>
      <c r="WSP300" s="208"/>
      <c r="WSQ300" s="208"/>
      <c r="WSR300" s="208"/>
      <c r="WSS300" s="208"/>
      <c r="WST300" s="208"/>
      <c r="WSU300" s="208"/>
      <c r="WSV300" s="208"/>
      <c r="WSW300" s="208"/>
      <c r="WSX300" s="208"/>
      <c r="WSY300" s="208"/>
      <c r="WSZ300" s="208"/>
      <c r="WTA300" s="208"/>
      <c r="WTB300" s="208"/>
      <c r="WTC300" s="208"/>
      <c r="WTD300" s="208"/>
      <c r="WTE300" s="208"/>
      <c r="WTF300" s="208"/>
      <c r="WTG300" s="208"/>
      <c r="WTH300" s="208"/>
      <c r="WTI300" s="208"/>
      <c r="WTJ300" s="208"/>
      <c r="WTK300" s="208"/>
      <c r="WTL300" s="208"/>
      <c r="WTM300" s="208"/>
      <c r="WTN300" s="208"/>
      <c r="WTO300" s="208"/>
      <c r="WTP300" s="208"/>
      <c r="WTQ300" s="208"/>
      <c r="WTR300" s="208"/>
      <c r="WTS300" s="208"/>
      <c r="WTT300" s="208"/>
      <c r="WTU300" s="208"/>
      <c r="WTV300" s="208"/>
      <c r="WTW300" s="208"/>
      <c r="WTX300" s="208"/>
      <c r="WTY300" s="208"/>
      <c r="WTZ300" s="208"/>
      <c r="WUA300" s="208"/>
      <c r="WUB300" s="208"/>
      <c r="WUC300" s="208"/>
      <c r="WUD300" s="208"/>
      <c r="WUE300" s="208"/>
      <c r="WUF300" s="208"/>
      <c r="WUG300" s="208"/>
      <c r="WUH300" s="208"/>
      <c r="WUI300" s="208"/>
      <c r="WUJ300" s="208"/>
      <c r="WUK300" s="208"/>
      <c r="WUL300" s="208"/>
      <c r="WUM300" s="208"/>
      <c r="WUN300" s="208"/>
      <c r="WUO300" s="208"/>
      <c r="WUP300" s="208"/>
      <c r="WUQ300" s="208"/>
      <c r="WUR300" s="208"/>
      <c r="WUS300" s="208"/>
      <c r="WUT300" s="208"/>
      <c r="WUU300" s="208"/>
      <c r="WUV300" s="208"/>
      <c r="WUW300" s="208"/>
      <c r="WUX300" s="208"/>
      <c r="WUY300" s="208"/>
      <c r="WUZ300" s="208"/>
      <c r="WVA300" s="208"/>
      <c r="WVB300" s="208"/>
      <c r="WVC300" s="208"/>
      <c r="WVD300" s="208"/>
      <c r="WVE300" s="208"/>
      <c r="WVF300" s="208"/>
      <c r="WVG300" s="208"/>
      <c r="WVH300" s="208"/>
      <c r="WVI300" s="208"/>
      <c r="WVJ300" s="208"/>
      <c r="WVK300" s="208"/>
      <c r="WVL300" s="208"/>
      <c r="WVM300" s="208"/>
      <c r="WVN300" s="208"/>
      <c r="WVO300" s="208"/>
      <c r="WVP300" s="208"/>
      <c r="WVQ300" s="208"/>
      <c r="WVR300" s="208"/>
      <c r="WVS300" s="208"/>
      <c r="WVT300" s="208"/>
      <c r="WVU300" s="208"/>
      <c r="WVV300" s="208"/>
      <c r="WVW300" s="208"/>
      <c r="WVX300" s="208"/>
      <c r="WVY300" s="208"/>
      <c r="WVZ300" s="208"/>
      <c r="WWA300" s="208"/>
      <c r="WWB300" s="208"/>
      <c r="WWC300" s="208"/>
      <c r="WWD300" s="208"/>
      <c r="WWE300" s="208"/>
      <c r="WWF300" s="208"/>
      <c r="WWG300" s="208"/>
      <c r="WWH300" s="208"/>
      <c r="WWI300" s="208"/>
      <c r="WWJ300" s="208"/>
      <c r="WWK300" s="208"/>
      <c r="WWL300" s="208"/>
      <c r="WWM300" s="208"/>
      <c r="WWN300" s="208"/>
      <c r="WWO300" s="208"/>
      <c r="WWP300" s="208"/>
      <c r="WWQ300" s="208"/>
      <c r="WWR300" s="208"/>
      <c r="WWS300" s="208"/>
      <c r="WWT300" s="208"/>
      <c r="WWU300" s="208"/>
      <c r="WWV300" s="208"/>
      <c r="WWW300" s="208"/>
      <c r="WWX300" s="208"/>
      <c r="WWY300" s="208"/>
      <c r="WWZ300" s="208"/>
      <c r="WXA300" s="208"/>
      <c r="WXB300" s="208"/>
      <c r="WXC300" s="208"/>
      <c r="WXD300" s="208"/>
      <c r="WXE300" s="208"/>
      <c r="WXF300" s="208"/>
      <c r="WXG300" s="208"/>
      <c r="WXH300" s="208"/>
      <c r="WXI300" s="208"/>
      <c r="WXJ300" s="208"/>
      <c r="WXK300" s="208"/>
      <c r="WXL300" s="208"/>
      <c r="WXM300" s="208"/>
      <c r="WXN300" s="208"/>
      <c r="WXO300" s="208"/>
      <c r="WXP300" s="208"/>
      <c r="WXQ300" s="208"/>
      <c r="WXR300" s="208"/>
      <c r="WXS300" s="208"/>
      <c r="WXT300" s="208"/>
      <c r="WXU300" s="208"/>
      <c r="WXV300" s="208"/>
      <c r="WXW300" s="208"/>
      <c r="WXX300" s="208"/>
      <c r="WXY300" s="208"/>
      <c r="WXZ300" s="208"/>
      <c r="WYA300" s="208"/>
      <c r="WYB300" s="208"/>
      <c r="WYC300" s="208"/>
      <c r="WYD300" s="208"/>
      <c r="WYE300" s="208"/>
      <c r="WYF300" s="208"/>
      <c r="WYG300" s="208"/>
      <c r="WYH300" s="208"/>
      <c r="WYI300" s="208"/>
      <c r="WYJ300" s="208"/>
      <c r="WYK300" s="208"/>
      <c r="WYL300" s="208"/>
      <c r="WYM300" s="208"/>
      <c r="WYN300" s="208"/>
      <c r="WYO300" s="208"/>
      <c r="WYP300" s="208"/>
      <c r="WYQ300" s="208"/>
      <c r="WYR300" s="208"/>
      <c r="WYS300" s="208"/>
      <c r="WYT300" s="208"/>
      <c r="WYU300" s="208"/>
      <c r="WYV300" s="208"/>
      <c r="WYW300" s="208"/>
      <c r="WYX300" s="208"/>
      <c r="WYY300" s="208"/>
      <c r="WYZ300" s="208"/>
      <c r="WZA300" s="208"/>
      <c r="WZB300" s="208"/>
      <c r="WZC300" s="208"/>
      <c r="WZD300" s="208"/>
      <c r="WZE300" s="208"/>
      <c r="WZF300" s="208"/>
      <c r="WZG300" s="208"/>
      <c r="WZH300" s="208"/>
      <c r="WZI300" s="208"/>
      <c r="WZJ300" s="208"/>
      <c r="WZK300" s="208"/>
      <c r="WZL300" s="208"/>
      <c r="WZM300" s="208"/>
      <c r="WZN300" s="208"/>
      <c r="WZO300" s="208"/>
      <c r="WZP300" s="208"/>
      <c r="WZQ300" s="208"/>
      <c r="WZR300" s="208"/>
      <c r="WZS300" s="208"/>
      <c r="WZT300" s="208"/>
      <c r="WZU300" s="208"/>
      <c r="WZV300" s="208"/>
      <c r="WZW300" s="208"/>
      <c r="WZX300" s="208"/>
      <c r="WZY300" s="208"/>
      <c r="WZZ300" s="208"/>
      <c r="XAA300" s="208"/>
      <c r="XAB300" s="208"/>
      <c r="XAC300" s="208"/>
      <c r="XAD300" s="208"/>
      <c r="XAE300" s="208"/>
      <c r="XAF300" s="208"/>
      <c r="XAG300" s="208"/>
      <c r="XAH300" s="208"/>
      <c r="XAI300" s="208"/>
      <c r="XAJ300" s="208"/>
      <c r="XAK300" s="208"/>
      <c r="XAL300" s="208"/>
      <c r="XAM300" s="208"/>
      <c r="XAN300" s="208"/>
      <c r="XAO300" s="208"/>
      <c r="XAP300" s="208"/>
      <c r="XAQ300" s="208"/>
      <c r="XAR300" s="208"/>
      <c r="XAS300" s="208"/>
      <c r="XAT300" s="208"/>
      <c r="XAU300" s="208"/>
      <c r="XAV300" s="208"/>
      <c r="XAW300" s="208"/>
      <c r="XAX300" s="208"/>
      <c r="XAY300" s="208"/>
      <c r="XAZ300" s="208"/>
      <c r="XBA300" s="208"/>
      <c r="XBB300" s="208"/>
      <c r="XBC300" s="208"/>
      <c r="XBD300" s="208"/>
      <c r="XBE300" s="208"/>
      <c r="XBF300" s="208"/>
      <c r="XBG300" s="208"/>
      <c r="XBH300" s="208"/>
      <c r="XBI300" s="208"/>
      <c r="XBJ300" s="208"/>
      <c r="XBK300" s="208"/>
      <c r="XBL300" s="208"/>
      <c r="XBM300" s="208"/>
      <c r="XBN300" s="208"/>
      <c r="XBO300" s="208"/>
      <c r="XBP300" s="208"/>
      <c r="XBQ300" s="208"/>
      <c r="XBR300" s="208"/>
      <c r="XBS300" s="208"/>
      <c r="XBT300" s="208"/>
      <c r="XBU300" s="208"/>
      <c r="XBV300" s="208"/>
      <c r="XBW300" s="208"/>
      <c r="XBX300" s="208"/>
      <c r="XBY300" s="208"/>
      <c r="XBZ300" s="208"/>
      <c r="XCA300" s="208"/>
      <c r="XCB300" s="208"/>
      <c r="XCC300" s="208"/>
      <c r="XCD300" s="208"/>
      <c r="XCE300" s="208"/>
      <c r="XCF300" s="208"/>
      <c r="XCG300" s="208"/>
      <c r="XCH300" s="208"/>
      <c r="XCI300" s="208"/>
      <c r="XCJ300" s="208"/>
      <c r="XCK300" s="208"/>
      <c r="XCL300" s="208"/>
      <c r="XCM300" s="208"/>
      <c r="XCN300" s="208"/>
      <c r="XCO300" s="208"/>
      <c r="XCP300" s="208"/>
      <c r="XCQ300" s="208"/>
      <c r="XCR300" s="208"/>
      <c r="XCS300" s="208"/>
      <c r="XCT300" s="208"/>
      <c r="XCU300" s="208"/>
      <c r="XCV300" s="208"/>
      <c r="XCW300" s="208"/>
      <c r="XCX300" s="208"/>
      <c r="XCY300" s="208"/>
      <c r="XCZ300" s="208"/>
      <c r="XDA300" s="208"/>
      <c r="XDB300" s="208"/>
      <c r="XDC300" s="208"/>
      <c r="XDD300" s="208"/>
      <c r="XDE300" s="208"/>
      <c r="XDF300" s="208"/>
      <c r="XDG300" s="208"/>
      <c r="XDH300" s="208"/>
      <c r="XDI300" s="208"/>
      <c r="XDJ300" s="208"/>
      <c r="XDK300" s="208"/>
      <c r="XDL300" s="208"/>
      <c r="XDM300" s="208"/>
      <c r="XDN300" s="208"/>
      <c r="XDO300" s="208"/>
      <c r="XDP300" s="208"/>
      <c r="XDQ300" s="208"/>
      <c r="XDR300" s="208"/>
      <c r="XDS300" s="208"/>
      <c r="XDT300" s="208"/>
      <c r="XDU300" s="208"/>
      <c r="XDV300" s="208"/>
      <c r="XDW300" s="208"/>
      <c r="XDX300" s="208"/>
      <c r="XDY300" s="208"/>
      <c r="XDZ300" s="208"/>
      <c r="XEA300" s="208"/>
      <c r="XEB300" s="208"/>
      <c r="XEC300" s="208"/>
      <c r="XED300" s="208"/>
      <c r="XEE300" s="208"/>
      <c r="XEF300" s="208"/>
      <c r="XEG300" s="208"/>
      <c r="XEH300" s="208"/>
      <c r="XEI300" s="208"/>
      <c r="XEJ300" s="208"/>
      <c r="XEK300" s="208"/>
      <c r="XEL300" s="208"/>
      <c r="XEM300" s="208"/>
      <c r="XEN300" s="208"/>
      <c r="XEO300" s="208"/>
      <c r="XEP300" s="208"/>
      <c r="XEQ300" s="208"/>
      <c r="XER300" s="208"/>
      <c r="XES300" s="208"/>
      <c r="XET300" s="208"/>
      <c r="XEU300" s="208"/>
      <c r="XEV300" s="208"/>
      <c r="XEW300" s="208"/>
      <c r="XEX300" s="208"/>
      <c r="XEY300" s="208"/>
      <c r="XEZ300" s="208"/>
      <c r="XFA300" s="208"/>
      <c r="XFB300" s="208"/>
      <c r="XFC300" s="208"/>
      <c r="XFD300" s="208"/>
    </row>
    <row r="301" spans="1:16384" s="2" customFormat="1" ht="47.25" customHeight="1" x14ac:dyDescent="0.25">
      <c r="A301" s="200"/>
      <c r="B301" s="201"/>
      <c r="C301" s="202" t="s">
        <v>42</v>
      </c>
      <c r="D301" s="203" t="s">
        <v>65</v>
      </c>
      <c r="E301" s="204">
        <f>SUM(E298:E300)</f>
        <v>10883.317000000001</v>
      </c>
      <c r="F301" s="204"/>
      <c r="G301" s="173">
        <f>SUM(G298:G299)</f>
        <v>35432.221799999999</v>
      </c>
      <c r="H301" s="173">
        <f>SUM(H298:H299)</f>
        <v>244240.31500000003</v>
      </c>
      <c r="I301" s="173"/>
      <c r="J301" s="173"/>
      <c r="K301" s="173"/>
      <c r="L301" s="201"/>
      <c r="M301" s="201"/>
      <c r="N301" s="201"/>
      <c r="O301" s="201"/>
      <c r="P301" s="173">
        <v>32980.07</v>
      </c>
      <c r="Q301" s="205"/>
      <c r="R301" s="206"/>
      <c r="S301" s="207"/>
    </row>
    <row r="302" spans="1:16384" s="2" customFormat="1" ht="21" customHeight="1" x14ac:dyDescent="0.25">
      <c r="A302" s="20"/>
      <c r="B302" s="129"/>
      <c r="C302" s="131" t="s">
        <v>42</v>
      </c>
      <c r="D302" s="99" t="s">
        <v>70</v>
      </c>
      <c r="E302" s="93">
        <v>389.14</v>
      </c>
      <c r="F302" s="94">
        <v>3.37</v>
      </c>
      <c r="G302" s="94">
        <v>1311.4018000000001</v>
      </c>
      <c r="H302" s="94">
        <v>15565.599999999999</v>
      </c>
      <c r="I302" s="94"/>
      <c r="J302" s="94"/>
      <c r="K302" s="94"/>
      <c r="L302" s="129"/>
      <c r="M302" s="129"/>
      <c r="N302" s="129"/>
      <c r="O302" s="129"/>
      <c r="P302" s="94">
        <v>0</v>
      </c>
      <c r="Q302" s="73"/>
      <c r="R302" s="74"/>
      <c r="S302" s="47"/>
    </row>
    <row r="303" spans="1:16384" s="2" customFormat="1" ht="48" customHeight="1" x14ac:dyDescent="0.25">
      <c r="A303" s="18"/>
      <c r="B303" s="122"/>
      <c r="C303" s="132" t="s">
        <v>42</v>
      </c>
      <c r="D303" s="100" t="s">
        <v>69</v>
      </c>
      <c r="E303" s="89">
        <f>SUM(E301:E302)</f>
        <v>11272.457</v>
      </c>
      <c r="F303" s="89"/>
      <c r="G303" s="87">
        <f t="shared" ref="G303:H303" si="79">SUM(G301:G302)</f>
        <v>36743.623599999999</v>
      </c>
      <c r="H303" s="87">
        <f t="shared" si="79"/>
        <v>259805.91500000004</v>
      </c>
      <c r="I303" s="87"/>
      <c r="J303" s="87"/>
      <c r="K303" s="87"/>
      <c r="L303" s="122"/>
      <c r="M303" s="122"/>
      <c r="N303" s="122"/>
      <c r="O303" s="122"/>
      <c r="P303" s="87">
        <v>32980.07</v>
      </c>
      <c r="Q303" s="76"/>
      <c r="R303" s="77"/>
      <c r="S303" s="50"/>
    </row>
    <row r="304" spans="1:16384" s="2" customFormat="1" ht="20.25" customHeight="1" x14ac:dyDescent="0.25">
      <c r="A304" s="20"/>
      <c r="B304" s="129"/>
      <c r="C304" s="131" t="s">
        <v>42</v>
      </c>
      <c r="D304" s="99" t="s">
        <v>71</v>
      </c>
      <c r="E304" s="93">
        <v>360.4</v>
      </c>
      <c r="F304" s="94">
        <v>3.45</v>
      </c>
      <c r="G304" s="94">
        <f>E304*F304</f>
        <v>1243.3799999999999</v>
      </c>
      <c r="H304" s="94">
        <f>E304*45</f>
        <v>16217.999999999998</v>
      </c>
      <c r="I304" s="94"/>
      <c r="J304" s="94"/>
      <c r="K304" s="94"/>
      <c r="L304" s="129"/>
      <c r="M304" s="129"/>
      <c r="N304" s="129"/>
      <c r="O304" s="129"/>
      <c r="P304" s="94">
        <v>0</v>
      </c>
      <c r="Q304" s="73"/>
      <c r="R304" s="74"/>
      <c r="S304" s="47"/>
    </row>
    <row r="305" spans="1:20" s="2" customFormat="1" ht="43.5" customHeight="1" x14ac:dyDescent="0.25">
      <c r="A305" s="18"/>
      <c r="B305" s="122"/>
      <c r="C305" s="132" t="s">
        <v>42</v>
      </c>
      <c r="D305" s="100" t="s">
        <v>72</v>
      </c>
      <c r="E305" s="89">
        <f>SUM(E303:E304)</f>
        <v>11632.857</v>
      </c>
      <c r="F305" s="89"/>
      <c r="G305" s="87">
        <f t="shared" ref="G305:H305" si="80">SUM(G303:G304)</f>
        <v>37987.003599999996</v>
      </c>
      <c r="H305" s="87">
        <f t="shared" si="80"/>
        <v>276023.91500000004</v>
      </c>
      <c r="I305" s="87"/>
      <c r="J305" s="87"/>
      <c r="K305" s="87"/>
      <c r="L305" s="122"/>
      <c r="M305" s="122"/>
      <c r="N305" s="122"/>
      <c r="O305" s="122"/>
      <c r="P305" s="87">
        <v>32980.07</v>
      </c>
      <c r="Q305" s="76"/>
      <c r="R305" s="77"/>
      <c r="S305" s="50"/>
    </row>
    <row r="306" spans="1:20" s="2" customFormat="1" ht="21.75" customHeight="1" x14ac:dyDescent="0.25">
      <c r="A306" s="20"/>
      <c r="B306" s="129"/>
      <c r="C306" s="131" t="s">
        <v>42</v>
      </c>
      <c r="D306" s="99" t="s">
        <v>73</v>
      </c>
      <c r="E306" s="93">
        <v>449.06</v>
      </c>
      <c r="F306" s="94">
        <v>3.45</v>
      </c>
      <c r="G306" s="94">
        <f>E306*F306</f>
        <v>1549.2570000000001</v>
      </c>
      <c r="H306" s="94">
        <f>E306*45</f>
        <v>20207.7</v>
      </c>
      <c r="I306" s="94"/>
      <c r="J306" s="94"/>
      <c r="K306" s="94"/>
      <c r="L306" s="129"/>
      <c r="M306" s="129"/>
      <c r="N306" s="129"/>
      <c r="O306" s="129"/>
      <c r="P306" s="94">
        <v>0</v>
      </c>
      <c r="Q306" s="73"/>
      <c r="R306" s="74"/>
      <c r="S306" s="47"/>
    </row>
    <row r="307" spans="1:20" s="2" customFormat="1" ht="43.5" customHeight="1" x14ac:dyDescent="0.25">
      <c r="A307" s="18"/>
      <c r="B307" s="122"/>
      <c r="C307" s="132" t="s">
        <v>42</v>
      </c>
      <c r="D307" s="100" t="s">
        <v>74</v>
      </c>
      <c r="E307" s="89">
        <f>SUM(E305:E306)</f>
        <v>12081.916999999999</v>
      </c>
      <c r="F307" s="89"/>
      <c r="G307" s="87">
        <f t="shared" ref="G307:H307" si="81">SUM(G305:G306)</f>
        <v>39536.260599999994</v>
      </c>
      <c r="H307" s="87">
        <f t="shared" si="81"/>
        <v>296231.61500000005</v>
      </c>
      <c r="I307" s="87"/>
      <c r="J307" s="87"/>
      <c r="K307" s="87"/>
      <c r="L307" s="122"/>
      <c r="M307" s="122"/>
      <c r="N307" s="122"/>
      <c r="O307" s="122"/>
      <c r="P307" s="87">
        <v>32980.07</v>
      </c>
      <c r="Q307" s="76"/>
      <c r="R307" s="77"/>
      <c r="S307" s="50"/>
    </row>
    <row r="308" spans="1:20" s="2" customFormat="1" ht="19.5" customHeight="1" x14ac:dyDescent="0.25">
      <c r="A308" s="20"/>
      <c r="B308" s="129"/>
      <c r="C308" s="131" t="s">
        <v>42</v>
      </c>
      <c r="D308" s="99" t="s">
        <v>76</v>
      </c>
      <c r="E308" s="93">
        <v>404.78</v>
      </c>
      <c r="F308" s="94">
        <v>3.45</v>
      </c>
      <c r="G308" s="94">
        <f>E308*F308</f>
        <v>1396.491</v>
      </c>
      <c r="H308" s="94">
        <f>E308*45</f>
        <v>18215.099999999999</v>
      </c>
      <c r="I308" s="94"/>
      <c r="J308" s="94"/>
      <c r="K308" s="94"/>
      <c r="L308" s="129"/>
      <c r="M308" s="129"/>
      <c r="N308" s="129"/>
      <c r="O308" s="129"/>
      <c r="P308" s="94">
        <v>0</v>
      </c>
      <c r="Q308" s="73"/>
      <c r="R308" s="74"/>
      <c r="S308" s="47"/>
    </row>
    <row r="309" spans="1:20" s="2" customFormat="1" ht="39.75" customHeight="1" x14ac:dyDescent="0.25">
      <c r="A309" s="20"/>
      <c r="B309" s="129"/>
      <c r="C309" s="131" t="s">
        <v>45</v>
      </c>
      <c r="D309" s="104"/>
      <c r="E309" s="93">
        <v>15.54</v>
      </c>
      <c r="F309" s="94">
        <v>0</v>
      </c>
      <c r="G309" s="94">
        <v>0</v>
      </c>
      <c r="H309" s="94">
        <v>0</v>
      </c>
      <c r="I309" s="94"/>
      <c r="J309" s="94"/>
      <c r="K309" s="94"/>
      <c r="L309" s="129"/>
      <c r="M309" s="129"/>
      <c r="N309" s="129"/>
      <c r="O309" s="129"/>
      <c r="P309" s="94"/>
      <c r="Q309" s="73"/>
      <c r="R309" s="74"/>
      <c r="S309" s="47"/>
    </row>
    <row r="310" spans="1:20" s="2" customFormat="1" ht="43.5" customHeight="1" x14ac:dyDescent="0.25">
      <c r="A310" s="18"/>
      <c r="B310" s="122"/>
      <c r="C310" s="132" t="s">
        <v>42</v>
      </c>
      <c r="D310" s="100" t="s">
        <v>77</v>
      </c>
      <c r="E310" s="89">
        <f>SUM(E307:E309)</f>
        <v>12502.237000000001</v>
      </c>
      <c r="F310" s="89"/>
      <c r="G310" s="87">
        <f t="shared" ref="G310:H310" si="82">SUM(G307:G309)</f>
        <v>40932.751599999996</v>
      </c>
      <c r="H310" s="87">
        <f t="shared" si="82"/>
        <v>314446.71500000003</v>
      </c>
      <c r="I310" s="87"/>
      <c r="J310" s="87"/>
      <c r="K310" s="87"/>
      <c r="L310" s="122"/>
      <c r="M310" s="122"/>
      <c r="N310" s="122"/>
      <c r="O310" s="122"/>
      <c r="P310" s="87">
        <v>32980.07</v>
      </c>
      <c r="Q310" s="76"/>
      <c r="R310" s="77"/>
      <c r="S310" s="50"/>
    </row>
    <row r="311" spans="1:20" s="2" customFormat="1" ht="19.5" customHeight="1" x14ac:dyDescent="0.25">
      <c r="A311" s="20"/>
      <c r="B311" s="129"/>
      <c r="C311" s="131" t="s">
        <v>42</v>
      </c>
      <c r="D311" s="99" t="s">
        <v>78</v>
      </c>
      <c r="E311" s="93">
        <v>225.04</v>
      </c>
      <c r="F311" s="94">
        <v>3.45</v>
      </c>
      <c r="G311" s="94">
        <f>E311*F311</f>
        <v>776.38800000000003</v>
      </c>
      <c r="H311" s="94">
        <f>E311*45</f>
        <v>10126.799999999999</v>
      </c>
      <c r="I311" s="94"/>
      <c r="J311" s="94"/>
      <c r="K311" s="94"/>
      <c r="L311" s="129"/>
      <c r="M311" s="129"/>
      <c r="N311" s="129"/>
      <c r="O311" s="129"/>
      <c r="P311" s="94">
        <v>48379.39</v>
      </c>
      <c r="Q311" s="73"/>
      <c r="R311" s="74"/>
      <c r="S311" s="47"/>
    </row>
    <row r="312" spans="1:20" s="2" customFormat="1" ht="43.5" customHeight="1" x14ac:dyDescent="0.25">
      <c r="A312" s="18"/>
      <c r="B312" s="122"/>
      <c r="C312" s="132" t="s">
        <v>42</v>
      </c>
      <c r="D312" s="100" t="s">
        <v>79</v>
      </c>
      <c r="E312" s="89">
        <f>SUM(E310:E311)</f>
        <v>12727.277000000002</v>
      </c>
      <c r="F312" s="89"/>
      <c r="G312" s="87">
        <f t="shared" ref="G312:H312" si="83">SUM(G310:G311)</f>
        <v>41709.139599999995</v>
      </c>
      <c r="H312" s="87">
        <f t="shared" si="83"/>
        <v>324573.51500000001</v>
      </c>
      <c r="I312" s="87"/>
      <c r="J312" s="87"/>
      <c r="K312" s="87"/>
      <c r="L312" s="122"/>
      <c r="M312" s="122"/>
      <c r="N312" s="122"/>
      <c r="O312" s="122"/>
      <c r="P312" s="87">
        <f>P310+P311</f>
        <v>81359.459999999992</v>
      </c>
      <c r="Q312" s="76"/>
      <c r="R312" s="77"/>
      <c r="S312" s="50"/>
    </row>
    <row r="313" spans="1:20" s="2" customFormat="1" ht="19.5" customHeight="1" x14ac:dyDescent="0.25">
      <c r="A313" s="20"/>
      <c r="B313" s="129"/>
      <c r="C313" s="131" t="s">
        <v>42</v>
      </c>
      <c r="D313" s="99" t="s">
        <v>82</v>
      </c>
      <c r="E313" s="93">
        <v>156.44</v>
      </c>
      <c r="F313" s="94">
        <v>3.45</v>
      </c>
      <c r="G313" s="94">
        <f>E313*F313</f>
        <v>539.71800000000007</v>
      </c>
      <c r="H313" s="94">
        <f>E313*57</f>
        <v>8917.08</v>
      </c>
      <c r="I313" s="94"/>
      <c r="J313" s="94"/>
      <c r="K313" s="94"/>
      <c r="L313" s="129"/>
      <c r="M313" s="129"/>
      <c r="N313" s="129"/>
      <c r="O313" s="129"/>
      <c r="P313" s="94">
        <v>79512.7</v>
      </c>
      <c r="Q313" s="73"/>
      <c r="R313" s="74"/>
      <c r="S313" s="47"/>
    </row>
    <row r="314" spans="1:20" s="2" customFormat="1" ht="43.5" customHeight="1" x14ac:dyDescent="0.25">
      <c r="A314" s="18"/>
      <c r="B314" s="122"/>
      <c r="C314" s="132" t="s">
        <v>42</v>
      </c>
      <c r="D314" s="100" t="s">
        <v>81</v>
      </c>
      <c r="E314" s="89">
        <f>SUM(E312:E313)</f>
        <v>12883.717000000002</v>
      </c>
      <c r="F314" s="89"/>
      <c r="G314" s="87">
        <f t="shared" ref="G314:P314" si="84">SUM(G312:G313)</f>
        <v>42248.857599999996</v>
      </c>
      <c r="H314" s="87">
        <f t="shared" si="84"/>
        <v>333490.59500000003</v>
      </c>
      <c r="I314" s="87"/>
      <c r="J314" s="87"/>
      <c r="K314" s="87"/>
      <c r="L314" s="87"/>
      <c r="M314" s="87"/>
      <c r="N314" s="87"/>
      <c r="O314" s="87"/>
      <c r="P314" s="87">
        <f t="shared" si="84"/>
        <v>160872.15999999997</v>
      </c>
      <c r="Q314" s="76"/>
      <c r="R314" s="77"/>
      <c r="S314" s="50"/>
    </row>
    <row r="315" spans="1:20" s="2" customFormat="1" ht="23.25" customHeight="1" x14ac:dyDescent="0.25">
      <c r="A315" s="20"/>
      <c r="B315" s="129"/>
      <c r="C315" s="131" t="s">
        <v>42</v>
      </c>
      <c r="D315" s="99" t="s">
        <v>84</v>
      </c>
      <c r="E315" s="93">
        <v>283.64299999999997</v>
      </c>
      <c r="F315" s="94">
        <v>3.45</v>
      </c>
      <c r="G315" s="94">
        <f>E315*F315</f>
        <v>978.56835000000001</v>
      </c>
      <c r="H315" s="94">
        <f>E315*57</f>
        <v>16167.650999999998</v>
      </c>
      <c r="I315" s="94"/>
      <c r="J315" s="94"/>
      <c r="K315" s="94"/>
      <c r="L315" s="94"/>
      <c r="M315" s="94"/>
      <c r="N315" s="94"/>
      <c r="O315" s="94"/>
      <c r="P315" s="94">
        <v>52080</v>
      </c>
      <c r="Q315" s="73"/>
      <c r="R315" s="74"/>
      <c r="S315" s="47"/>
    </row>
    <row r="316" spans="1:20" s="2" customFormat="1" ht="43.5" customHeight="1" x14ac:dyDescent="0.25">
      <c r="A316" s="18"/>
      <c r="B316" s="122"/>
      <c r="C316" s="132" t="s">
        <v>42</v>
      </c>
      <c r="D316" s="100" t="s">
        <v>86</v>
      </c>
      <c r="E316" s="89">
        <f>SUM(E314:E315)</f>
        <v>13167.360000000002</v>
      </c>
      <c r="F316" s="89"/>
      <c r="G316" s="87">
        <f t="shared" ref="G316:P316" si="85">SUM(G314:G315)</f>
        <v>43227.425949999997</v>
      </c>
      <c r="H316" s="87">
        <f t="shared" si="85"/>
        <v>349658.24600000004</v>
      </c>
      <c r="I316" s="87"/>
      <c r="J316" s="87"/>
      <c r="K316" s="87"/>
      <c r="L316" s="89"/>
      <c r="M316" s="89"/>
      <c r="N316" s="89"/>
      <c r="O316" s="89"/>
      <c r="P316" s="87">
        <f t="shared" si="85"/>
        <v>212952.15999999997</v>
      </c>
      <c r="Q316" s="87"/>
      <c r="R316" s="87"/>
      <c r="S316" s="87"/>
      <c r="T316" s="211"/>
    </row>
    <row r="317" spans="1:20" s="2" customFormat="1" ht="25.5" customHeight="1" x14ac:dyDescent="0.25">
      <c r="A317" s="20"/>
      <c r="B317" s="129"/>
      <c r="C317" s="131" t="s">
        <v>42</v>
      </c>
      <c r="D317" s="99" t="s">
        <v>89</v>
      </c>
      <c r="E317" s="93">
        <v>460.5</v>
      </c>
      <c r="F317" s="94">
        <v>3.45</v>
      </c>
      <c r="G317" s="94">
        <f>E317*F317</f>
        <v>1588.7250000000001</v>
      </c>
      <c r="H317" s="94">
        <f>E317*57</f>
        <v>26248.5</v>
      </c>
      <c r="I317" s="94"/>
      <c r="J317" s="94"/>
      <c r="K317" s="94"/>
      <c r="L317" s="94"/>
      <c r="M317" s="94"/>
      <c r="N317" s="93"/>
      <c r="O317" s="93"/>
      <c r="P317" s="94">
        <v>0</v>
      </c>
      <c r="Q317" s="94"/>
      <c r="R317" s="215"/>
      <c r="S317" s="94"/>
      <c r="T317" s="211"/>
    </row>
    <row r="318" spans="1:20" s="2" customFormat="1" ht="39" customHeight="1" x14ac:dyDescent="0.25">
      <c r="A318" s="20"/>
      <c r="B318" s="129"/>
      <c r="C318" s="131" t="s">
        <v>45</v>
      </c>
      <c r="D318" s="104"/>
      <c r="E318" s="93" t="s">
        <v>91</v>
      </c>
      <c r="F318" s="93"/>
      <c r="G318" s="94"/>
      <c r="H318" s="94"/>
      <c r="I318" s="94"/>
      <c r="J318" s="94"/>
      <c r="K318" s="94"/>
      <c r="L318" s="93"/>
      <c r="M318" s="93"/>
      <c r="N318" s="93"/>
      <c r="O318" s="93"/>
      <c r="P318" s="94"/>
      <c r="Q318" s="94"/>
      <c r="R318" s="215"/>
      <c r="S318" s="94"/>
      <c r="T318" s="211"/>
    </row>
    <row r="319" spans="1:20" s="2" customFormat="1" ht="43.5" customHeight="1" x14ac:dyDescent="0.25">
      <c r="A319" s="18"/>
      <c r="B319" s="122"/>
      <c r="C319" s="132" t="s">
        <v>42</v>
      </c>
      <c r="D319" s="100" t="s">
        <v>90</v>
      </c>
      <c r="E319" s="89">
        <v>13636.24</v>
      </c>
      <c r="F319" s="89"/>
      <c r="G319" s="87">
        <f t="shared" ref="G319:P319" si="86">SUM(G316:G318)</f>
        <v>44816.150949999996</v>
      </c>
      <c r="H319" s="87">
        <f t="shared" si="86"/>
        <v>375906.74600000004</v>
      </c>
      <c r="I319" s="87"/>
      <c r="J319" s="87"/>
      <c r="K319" s="87"/>
      <c r="L319" s="87"/>
      <c r="M319" s="87"/>
      <c r="N319" s="87"/>
      <c r="O319" s="87"/>
      <c r="P319" s="87">
        <f t="shared" si="86"/>
        <v>212952.15999999997</v>
      </c>
      <c r="Q319" s="87"/>
      <c r="R319" s="210"/>
      <c r="S319" s="87"/>
      <c r="T319" s="211"/>
    </row>
    <row r="320" spans="1:20" s="2" customFormat="1" ht="29.25" customHeight="1" x14ac:dyDescent="0.25">
      <c r="A320" s="20"/>
      <c r="B320" s="129"/>
      <c r="C320" s="131" t="s">
        <v>42</v>
      </c>
      <c r="D320" s="99" t="s">
        <v>93</v>
      </c>
      <c r="E320" s="93">
        <v>409.66</v>
      </c>
      <c r="F320" s="94">
        <v>3.45</v>
      </c>
      <c r="G320" s="94">
        <f>SUM(E320*F320)</f>
        <v>1413.3270000000002</v>
      </c>
      <c r="H320" s="94">
        <f>E320*57</f>
        <v>23350.620000000003</v>
      </c>
      <c r="I320" s="94"/>
      <c r="J320" s="94"/>
      <c r="K320" s="94"/>
      <c r="L320" s="94"/>
      <c r="M320" s="94"/>
      <c r="N320" s="94"/>
      <c r="O320" s="94"/>
      <c r="P320" s="94">
        <v>0</v>
      </c>
      <c r="Q320" s="94"/>
      <c r="R320" s="215"/>
      <c r="S320" s="94"/>
      <c r="T320" s="211"/>
    </row>
    <row r="321" spans="1:20" s="2" customFormat="1" ht="43.5" customHeight="1" x14ac:dyDescent="0.25">
      <c r="A321" s="18"/>
      <c r="B321" s="122"/>
      <c r="C321" s="132" t="s">
        <v>42</v>
      </c>
      <c r="D321" s="100" t="s">
        <v>94</v>
      </c>
      <c r="E321" s="89">
        <f>SUM(E319:E320)</f>
        <v>14045.9</v>
      </c>
      <c r="F321" s="89"/>
      <c r="G321" s="87">
        <f t="shared" ref="G321:H321" si="87">SUM(G319:G320)</f>
        <v>46229.477949999993</v>
      </c>
      <c r="H321" s="87">
        <f t="shared" si="87"/>
        <v>399257.36600000004</v>
      </c>
      <c r="I321" s="87"/>
      <c r="J321" s="87"/>
      <c r="K321" s="87"/>
      <c r="L321" s="87"/>
      <c r="M321" s="87"/>
      <c r="N321" s="87"/>
      <c r="O321" s="87"/>
      <c r="P321" s="87">
        <v>212952.16</v>
      </c>
      <c r="Q321" s="87"/>
      <c r="R321" s="210"/>
      <c r="S321" s="87"/>
      <c r="T321" s="211"/>
    </row>
    <row r="322" spans="1:20" s="2" customFormat="1" ht="90" customHeight="1" x14ac:dyDescent="0.25">
      <c r="A322" s="20"/>
      <c r="B322" s="129"/>
      <c r="C322" s="131" t="s">
        <v>42</v>
      </c>
      <c r="D322" s="99" t="s">
        <v>96</v>
      </c>
      <c r="E322" s="93">
        <v>355.8</v>
      </c>
      <c r="F322" s="94">
        <v>5.6</v>
      </c>
      <c r="G322" s="94">
        <f>SUM(E322*F322)</f>
        <v>1992.48</v>
      </c>
      <c r="H322" s="94">
        <v>32576.400000000001</v>
      </c>
      <c r="I322" s="94"/>
      <c r="J322" s="94"/>
      <c r="K322" s="94"/>
      <c r="L322" s="94"/>
      <c r="M322" s="94"/>
      <c r="N322" s="94"/>
      <c r="O322" s="94"/>
      <c r="P322" s="220" t="s">
        <v>131</v>
      </c>
      <c r="Q322" s="94"/>
      <c r="R322" s="215"/>
      <c r="S322" s="217" t="s">
        <v>105</v>
      </c>
      <c r="T322" s="211"/>
    </row>
    <row r="323" spans="1:20" s="2" customFormat="1" ht="43.5" customHeight="1" x14ac:dyDescent="0.25">
      <c r="A323" s="18"/>
      <c r="B323" s="122"/>
      <c r="C323" s="132" t="s">
        <v>42</v>
      </c>
      <c r="D323" s="100" t="s">
        <v>97</v>
      </c>
      <c r="E323" s="89">
        <f>SUM(E321:E322)</f>
        <v>14401.699999999999</v>
      </c>
      <c r="F323" s="89"/>
      <c r="G323" s="87">
        <f t="shared" ref="G323:H323" si="88">SUM(G321:G322)</f>
        <v>48221.957949999996</v>
      </c>
      <c r="H323" s="87">
        <f t="shared" si="88"/>
        <v>431833.76600000006</v>
      </c>
      <c r="I323" s="87"/>
      <c r="J323" s="87"/>
      <c r="K323" s="87"/>
      <c r="L323" s="87"/>
      <c r="M323" s="87"/>
      <c r="N323" s="87"/>
      <c r="O323" s="87"/>
      <c r="P323" s="221" t="s">
        <v>111</v>
      </c>
      <c r="Q323" s="87"/>
      <c r="R323" s="210"/>
      <c r="S323" s="87"/>
      <c r="T323" s="211"/>
    </row>
    <row r="324" spans="1:20" s="2" customFormat="1" ht="43.5" customHeight="1" x14ac:dyDescent="0.25">
      <c r="A324" s="20"/>
      <c r="B324" s="129"/>
      <c r="C324" s="131" t="s">
        <v>42</v>
      </c>
      <c r="D324" s="99" t="s">
        <v>119</v>
      </c>
      <c r="E324" s="93">
        <v>438.03</v>
      </c>
      <c r="F324" s="94">
        <v>5.6</v>
      </c>
      <c r="G324" s="94">
        <v>2453.14</v>
      </c>
      <c r="H324" s="94" t="s">
        <v>133</v>
      </c>
      <c r="I324" s="94"/>
      <c r="J324" s="94"/>
      <c r="K324" s="94"/>
      <c r="L324" s="94"/>
      <c r="M324" s="94"/>
      <c r="N324" s="94"/>
      <c r="O324" s="94"/>
      <c r="P324" s="220" t="s">
        <v>122</v>
      </c>
      <c r="Q324" s="94"/>
      <c r="R324" s="215"/>
      <c r="S324" s="94"/>
      <c r="T324" s="211"/>
    </row>
    <row r="325" spans="1:20" s="2" customFormat="1" ht="43.5" customHeight="1" x14ac:dyDescent="0.25">
      <c r="A325" s="18"/>
      <c r="B325" s="122"/>
      <c r="C325" s="132" t="s">
        <v>42</v>
      </c>
      <c r="D325" s="100" t="s">
        <v>120</v>
      </c>
      <c r="E325" s="89">
        <f>SUM(E323:E324)</f>
        <v>14839.73</v>
      </c>
      <c r="F325" s="89"/>
      <c r="G325" s="87">
        <f t="shared" ref="G325" si="89">SUM(G323:G324)</f>
        <v>50675.097949999996</v>
      </c>
      <c r="H325" s="87">
        <v>462059.91</v>
      </c>
      <c r="I325" s="87"/>
      <c r="J325" s="87"/>
      <c r="K325" s="87"/>
      <c r="L325" s="87"/>
      <c r="M325" s="87"/>
      <c r="N325" s="87"/>
      <c r="O325" s="87"/>
      <c r="P325" s="221" t="s">
        <v>138</v>
      </c>
      <c r="Q325" s="87"/>
      <c r="R325" s="210"/>
      <c r="S325" s="87"/>
      <c r="T325" s="211"/>
    </row>
    <row r="326" spans="1:20" s="2" customFormat="1" ht="30.75" customHeight="1" x14ac:dyDescent="0.25">
      <c r="A326" s="20"/>
      <c r="B326" s="129"/>
      <c r="C326" s="131" t="s">
        <v>42</v>
      </c>
      <c r="D326" s="99" t="s">
        <v>139</v>
      </c>
      <c r="E326" s="93">
        <v>461</v>
      </c>
      <c r="F326" s="94">
        <v>5.6</v>
      </c>
      <c r="G326" s="94">
        <f>SUM(E326*F326)</f>
        <v>2581.6</v>
      </c>
      <c r="H326" s="94">
        <f>SUM(E326*69)</f>
        <v>31809</v>
      </c>
      <c r="I326" s="94"/>
      <c r="J326" s="94"/>
      <c r="K326" s="94"/>
      <c r="L326" s="94"/>
      <c r="M326" s="94"/>
      <c r="N326" s="94"/>
      <c r="O326" s="94"/>
      <c r="P326" s="220">
        <v>0</v>
      </c>
      <c r="Q326" s="94"/>
      <c r="R326" s="215"/>
      <c r="S326" s="94"/>
      <c r="T326" s="211"/>
    </row>
    <row r="327" spans="1:20" s="2" customFormat="1" ht="43.5" customHeight="1" x14ac:dyDescent="0.25">
      <c r="A327" s="18"/>
      <c r="B327" s="122"/>
      <c r="C327" s="132" t="s">
        <v>42</v>
      </c>
      <c r="D327" s="100" t="s">
        <v>140</v>
      </c>
      <c r="E327" s="89">
        <f>SUM(E325:E326)</f>
        <v>15300.73</v>
      </c>
      <c r="F327" s="89"/>
      <c r="G327" s="87">
        <f t="shared" ref="G327:H327" si="90">SUM(G325:G326)</f>
        <v>53256.697949999994</v>
      </c>
      <c r="H327" s="87">
        <f t="shared" si="90"/>
        <v>493868.91</v>
      </c>
      <c r="I327" s="87"/>
      <c r="J327" s="87"/>
      <c r="K327" s="87"/>
      <c r="L327" s="87"/>
      <c r="M327" s="87"/>
      <c r="N327" s="87"/>
      <c r="O327" s="87"/>
      <c r="P327" s="221" t="s">
        <v>138</v>
      </c>
      <c r="Q327" s="87"/>
      <c r="R327" s="210"/>
      <c r="S327" s="87"/>
      <c r="T327" s="211"/>
    </row>
    <row r="328" spans="1:20" s="2" customFormat="1" ht="29.25" customHeight="1" x14ac:dyDescent="0.25">
      <c r="A328" s="20"/>
      <c r="B328" s="129"/>
      <c r="C328" s="131" t="s">
        <v>42</v>
      </c>
      <c r="D328" s="99" t="s">
        <v>144</v>
      </c>
      <c r="E328" s="93">
        <v>395.64</v>
      </c>
      <c r="F328" s="94">
        <v>5.6</v>
      </c>
      <c r="G328" s="94">
        <v>2215.5839999999998</v>
      </c>
      <c r="H328" s="94">
        <v>27299.16</v>
      </c>
      <c r="I328" s="94"/>
      <c r="J328" s="94"/>
      <c r="K328" s="94"/>
      <c r="L328" s="94"/>
      <c r="M328" s="94"/>
      <c r="N328" s="94"/>
      <c r="O328" s="94"/>
      <c r="P328" s="220" t="s">
        <v>148</v>
      </c>
      <c r="Q328" s="94"/>
      <c r="R328" s="215"/>
      <c r="S328" s="94"/>
      <c r="T328" s="211"/>
    </row>
    <row r="329" spans="1:20" s="2" customFormat="1" ht="43.5" customHeight="1" x14ac:dyDescent="0.25">
      <c r="A329" s="18"/>
      <c r="B329" s="122"/>
      <c r="C329" s="132" t="s">
        <v>42</v>
      </c>
      <c r="D329" s="100" t="s">
        <v>145</v>
      </c>
      <c r="E329" s="89">
        <f>SUM(E327:E328)</f>
        <v>15696.369999999999</v>
      </c>
      <c r="F329" s="89"/>
      <c r="G329" s="87">
        <f t="shared" ref="G329:H329" si="91">SUM(G327:G328)</f>
        <v>55472.281949999997</v>
      </c>
      <c r="H329" s="87">
        <f t="shared" si="91"/>
        <v>521168.06999999995</v>
      </c>
      <c r="I329" s="87"/>
      <c r="J329" s="87"/>
      <c r="K329" s="87"/>
      <c r="L329" s="87"/>
      <c r="M329" s="87"/>
      <c r="N329" s="87"/>
      <c r="O329" s="87"/>
      <c r="P329" s="221" t="s">
        <v>149</v>
      </c>
      <c r="Q329" s="87"/>
      <c r="R329" s="210"/>
      <c r="S329" s="87"/>
      <c r="T329" s="211"/>
    </row>
    <row r="330" spans="1:20" s="2" customFormat="1" ht="66" customHeight="1" x14ac:dyDescent="0.25">
      <c r="A330" s="20"/>
      <c r="B330" s="129"/>
      <c r="C330" s="131" t="s">
        <v>42</v>
      </c>
      <c r="D330" s="99" t="s">
        <v>165</v>
      </c>
      <c r="E330" s="93">
        <v>346.86</v>
      </c>
      <c r="F330" s="94">
        <v>5.6</v>
      </c>
      <c r="G330" s="94">
        <f>E330*F330</f>
        <v>1942.4159999999999</v>
      </c>
      <c r="H330" s="94">
        <f>E330*82</f>
        <v>28442.52</v>
      </c>
      <c r="I330" s="94"/>
      <c r="J330" s="94"/>
      <c r="K330" s="94"/>
      <c r="L330" s="94"/>
      <c r="M330" s="94"/>
      <c r="N330" s="94"/>
      <c r="O330" s="94"/>
      <c r="P330" s="220" t="s">
        <v>176</v>
      </c>
      <c r="Q330" s="94"/>
      <c r="R330" s="215"/>
      <c r="S330" s="94"/>
      <c r="T330" s="211"/>
    </row>
    <row r="331" spans="1:20" s="2" customFormat="1" ht="43.5" customHeight="1" x14ac:dyDescent="0.25">
      <c r="A331" s="18"/>
      <c r="B331" s="122"/>
      <c r="C331" s="132" t="s">
        <v>42</v>
      </c>
      <c r="D331" s="100" t="s">
        <v>167</v>
      </c>
      <c r="E331" s="89">
        <f>SUM(E329:E330)</f>
        <v>16043.23</v>
      </c>
      <c r="F331" s="89"/>
      <c r="G331" s="87">
        <f t="shared" ref="G331:H331" si="92">SUM(G329:G330)</f>
        <v>57414.697949999994</v>
      </c>
      <c r="H331" s="87">
        <f t="shared" si="92"/>
        <v>549610.59</v>
      </c>
      <c r="I331" s="87"/>
      <c r="J331" s="87"/>
      <c r="K331" s="87"/>
      <c r="L331" s="87"/>
      <c r="M331" s="87"/>
      <c r="N331" s="87"/>
      <c r="O331" s="87"/>
      <c r="P331" s="221" t="s">
        <v>177</v>
      </c>
      <c r="Q331" s="87"/>
      <c r="R331" s="210"/>
      <c r="S331" s="87"/>
      <c r="T331" s="211"/>
    </row>
    <row r="332" spans="1:20" s="2" customFormat="1" ht="27.75" customHeight="1" x14ac:dyDescent="0.25">
      <c r="A332" s="20"/>
      <c r="B332" s="129"/>
      <c r="C332" s="131" t="s">
        <v>42</v>
      </c>
      <c r="D332" s="99" t="s">
        <v>166</v>
      </c>
      <c r="E332" s="93">
        <v>430.8</v>
      </c>
      <c r="F332" s="94">
        <v>5.6</v>
      </c>
      <c r="G332" s="94">
        <f>144.08*5.6</f>
        <v>806.84800000000007</v>
      </c>
      <c r="H332" s="94">
        <f>144.08*82</f>
        <v>11814.560000000001</v>
      </c>
      <c r="I332" s="94">
        <f>286.72*5.6</f>
        <v>1605.6320000000001</v>
      </c>
      <c r="J332" s="94">
        <f>286.72*82</f>
        <v>23511.040000000001</v>
      </c>
      <c r="K332" s="94"/>
      <c r="L332" s="94"/>
      <c r="M332" s="94"/>
      <c r="N332" s="94"/>
      <c r="O332" s="94"/>
      <c r="P332" s="220">
        <v>0</v>
      </c>
      <c r="Q332" s="94"/>
      <c r="R332" s="215"/>
      <c r="S332" s="94"/>
      <c r="T332" s="211"/>
    </row>
    <row r="333" spans="1:20" s="2" customFormat="1" ht="43.5" customHeight="1" x14ac:dyDescent="0.25">
      <c r="A333" s="18"/>
      <c r="B333" s="122"/>
      <c r="C333" s="132" t="s">
        <v>42</v>
      </c>
      <c r="D333" s="100" t="s">
        <v>168</v>
      </c>
      <c r="E333" s="89">
        <f>SUM(E331:E332)</f>
        <v>16474.03</v>
      </c>
      <c r="F333" s="89"/>
      <c r="G333" s="87">
        <f t="shared" ref="G333:J333" si="93">SUM(G331:G332)</f>
        <v>58221.545949999992</v>
      </c>
      <c r="H333" s="87">
        <f t="shared" si="93"/>
        <v>561425.15</v>
      </c>
      <c r="I333" s="87">
        <f t="shared" si="93"/>
        <v>1605.6320000000001</v>
      </c>
      <c r="J333" s="87">
        <f t="shared" si="93"/>
        <v>23511.040000000001</v>
      </c>
      <c r="K333" s="87"/>
      <c r="L333" s="87"/>
      <c r="M333" s="87"/>
      <c r="N333" s="87"/>
      <c r="O333" s="87"/>
      <c r="P333" s="221" t="s">
        <v>177</v>
      </c>
      <c r="Q333" s="87"/>
      <c r="R333" s="210"/>
      <c r="S333" s="87"/>
      <c r="T333" s="211"/>
    </row>
    <row r="334" spans="1:20" s="236" customFormat="1" ht="43.5" customHeight="1" x14ac:dyDescent="0.25">
      <c r="A334" s="230"/>
      <c r="B334" s="237"/>
      <c r="C334" s="131" t="s">
        <v>42</v>
      </c>
      <c r="D334" s="99" t="s">
        <v>195</v>
      </c>
      <c r="E334" s="231">
        <v>463.52</v>
      </c>
      <c r="F334" s="94">
        <v>5.6</v>
      </c>
      <c r="G334" s="94">
        <f>286.72*5.6</f>
        <v>1605.6320000000001</v>
      </c>
      <c r="H334" s="94">
        <f>286.72*82</f>
        <v>23511.040000000001</v>
      </c>
      <c r="I334" s="232">
        <f>E334*5.6</f>
        <v>2595.7119999999995</v>
      </c>
      <c r="J334" s="232">
        <f>E334*82</f>
        <v>38008.639999999999</v>
      </c>
      <c r="K334" s="232"/>
      <c r="L334" s="232"/>
      <c r="M334" s="232"/>
      <c r="N334" s="232"/>
      <c r="O334" s="232"/>
      <c r="P334" s="220">
        <v>0</v>
      </c>
      <c r="Q334" s="232"/>
      <c r="R334" s="245"/>
      <c r="S334" s="232"/>
      <c r="T334" s="246"/>
    </row>
    <row r="335" spans="1:20" s="2" customFormat="1" ht="43.5" customHeight="1" x14ac:dyDescent="0.25">
      <c r="A335" s="18"/>
      <c r="B335" s="122"/>
      <c r="C335" s="132" t="s">
        <v>42</v>
      </c>
      <c r="D335" s="100" t="s">
        <v>196</v>
      </c>
      <c r="E335" s="89">
        <f>SUM(E333:E334)</f>
        <v>16937.55</v>
      </c>
      <c r="F335" s="89"/>
      <c r="G335" s="87">
        <f>SUM(G333:G334)</f>
        <v>59827.17794999999</v>
      </c>
      <c r="H335" s="87">
        <f>SUM(H333:H334)</f>
        <v>584936.19000000006</v>
      </c>
      <c r="I335" s="87">
        <v>2595.71</v>
      </c>
      <c r="J335" s="87">
        <v>38008.639999999999</v>
      </c>
      <c r="K335" s="87"/>
      <c r="L335" s="87"/>
      <c r="M335" s="87"/>
      <c r="N335" s="87"/>
      <c r="O335" s="87"/>
      <c r="P335" s="221" t="s">
        <v>177</v>
      </c>
      <c r="Q335" s="87"/>
      <c r="R335" s="210"/>
      <c r="S335" s="87"/>
      <c r="T335" s="211"/>
    </row>
    <row r="336" spans="1:20" s="236" customFormat="1" ht="43.5" customHeight="1" x14ac:dyDescent="0.25">
      <c r="A336" s="230"/>
      <c r="B336" s="237"/>
      <c r="C336" s="131" t="s">
        <v>42</v>
      </c>
      <c r="D336" s="99" t="s">
        <v>201</v>
      </c>
      <c r="E336" s="231">
        <v>398.78</v>
      </c>
      <c r="F336" s="94">
        <v>5.6</v>
      </c>
      <c r="G336" s="232">
        <f>612.08*5.6</f>
        <v>3427.6480000000001</v>
      </c>
      <c r="H336" s="232">
        <f>612.08*82</f>
        <v>50190.560000000005</v>
      </c>
      <c r="I336" s="232">
        <f>250.22*5.6</f>
        <v>1401.232</v>
      </c>
      <c r="J336" s="232">
        <f>250.22*82</f>
        <v>20518.04</v>
      </c>
      <c r="K336" s="232"/>
      <c r="L336" s="232"/>
      <c r="M336" s="232"/>
      <c r="N336" s="232"/>
      <c r="O336" s="232"/>
      <c r="P336" s="233" t="s">
        <v>203</v>
      </c>
      <c r="Q336" s="232"/>
      <c r="R336" s="245"/>
      <c r="S336" s="232"/>
      <c r="T336" s="246"/>
    </row>
    <row r="337" spans="1:20" s="2" customFormat="1" ht="43.5" customHeight="1" x14ac:dyDescent="0.25">
      <c r="A337" s="18"/>
      <c r="B337" s="122"/>
      <c r="C337" s="132" t="s">
        <v>42</v>
      </c>
      <c r="D337" s="100" t="s">
        <v>202</v>
      </c>
      <c r="E337" s="89">
        <f>SUM(E335:E336)</f>
        <v>17336.329999999998</v>
      </c>
      <c r="F337" s="89"/>
      <c r="G337" s="87">
        <f>SUM(G335:G336)</f>
        <v>63254.825949999991</v>
      </c>
      <c r="H337" s="87">
        <f>SUM(H335:H336)</f>
        <v>635126.75000000012</v>
      </c>
      <c r="I337" s="87">
        <v>1401.23</v>
      </c>
      <c r="J337" s="87">
        <v>20518.04</v>
      </c>
      <c r="K337" s="87"/>
      <c r="L337" s="87"/>
      <c r="M337" s="87"/>
      <c r="N337" s="87"/>
      <c r="O337" s="87"/>
      <c r="P337" s="221" t="s">
        <v>204</v>
      </c>
      <c r="Q337" s="87"/>
      <c r="R337" s="210"/>
      <c r="S337" s="87"/>
      <c r="T337" s="211"/>
    </row>
    <row r="338" spans="1:20" s="236" customFormat="1" ht="43.5" customHeight="1" x14ac:dyDescent="0.25">
      <c r="A338" s="230"/>
      <c r="B338" s="237"/>
      <c r="C338" s="131" t="s">
        <v>42</v>
      </c>
      <c r="D338" s="99" t="s">
        <v>208</v>
      </c>
      <c r="E338" s="231">
        <v>310.33999999999997</v>
      </c>
      <c r="F338" s="231" t="s">
        <v>210</v>
      </c>
      <c r="G338" s="232"/>
      <c r="H338" s="232"/>
      <c r="I338" s="232">
        <f>310.34*5.6</f>
        <v>1737.9039999999998</v>
      </c>
      <c r="J338" s="232">
        <f>310.34*95</f>
        <v>29482.3</v>
      </c>
      <c r="K338" s="232"/>
      <c r="L338" s="232"/>
      <c r="M338" s="232"/>
      <c r="N338" s="232"/>
      <c r="O338" s="232"/>
      <c r="P338" s="233"/>
      <c r="Q338" s="232"/>
      <c r="R338" s="245"/>
      <c r="S338" s="232"/>
      <c r="T338" s="246"/>
    </row>
    <row r="339" spans="1:20" s="2" customFormat="1" ht="43.5" customHeight="1" x14ac:dyDescent="0.25">
      <c r="A339" s="18"/>
      <c r="B339" s="122"/>
      <c r="C339" s="132" t="s">
        <v>42</v>
      </c>
      <c r="D339" s="100" t="s">
        <v>209</v>
      </c>
      <c r="E339" s="89">
        <f>SUM(E337:E338)</f>
        <v>17646.669999999998</v>
      </c>
      <c r="F339" s="89"/>
      <c r="G339" s="87">
        <f>SUM(G337:G338)</f>
        <v>63254.825949999991</v>
      </c>
      <c r="H339" s="87">
        <f>SUM(H337:H338)</f>
        <v>635126.75000000012</v>
      </c>
      <c r="I339" s="87">
        <f>SUM(I337:I338)</f>
        <v>3139.134</v>
      </c>
      <c r="J339" s="87">
        <f>SUM(J337:J338)</f>
        <v>50000.34</v>
      </c>
      <c r="K339" s="87"/>
      <c r="L339" s="87"/>
      <c r="M339" s="87"/>
      <c r="N339" s="87"/>
      <c r="O339" s="87"/>
      <c r="P339" s="221" t="s">
        <v>211</v>
      </c>
      <c r="Q339" s="87"/>
      <c r="R339" s="210"/>
      <c r="S339" s="87"/>
      <c r="T339" s="211"/>
    </row>
    <row r="340" spans="1:20" s="236" customFormat="1" ht="43.5" customHeight="1" x14ac:dyDescent="0.25">
      <c r="A340" s="230"/>
      <c r="B340" s="237"/>
      <c r="C340" s="131" t="s">
        <v>42</v>
      </c>
      <c r="D340" s="99" t="s">
        <v>215</v>
      </c>
      <c r="E340" s="231">
        <v>432.88</v>
      </c>
      <c r="F340" s="231" t="s">
        <v>210</v>
      </c>
      <c r="G340" s="232">
        <f>447.06*5.6</f>
        <v>2503.5360000000001</v>
      </c>
      <c r="H340" s="232">
        <f>20518.04+196.84*95</f>
        <v>39217.839999999997</v>
      </c>
      <c r="I340" s="232">
        <f>546.38*5.6</f>
        <v>3059.7279999999996</v>
      </c>
      <c r="J340" s="232">
        <f>546.38*95</f>
        <v>51906.1</v>
      </c>
      <c r="K340" s="232"/>
      <c r="L340" s="232"/>
      <c r="M340" s="232"/>
      <c r="N340" s="232"/>
      <c r="O340" s="232"/>
      <c r="P340" s="233"/>
      <c r="Q340" s="232"/>
      <c r="R340" s="245"/>
      <c r="S340" s="232"/>
      <c r="T340" s="246"/>
    </row>
    <row r="341" spans="1:20" s="2" customFormat="1" ht="43.5" customHeight="1" x14ac:dyDescent="0.25">
      <c r="A341" s="18"/>
      <c r="B341" s="122"/>
      <c r="C341" s="132" t="s">
        <v>42</v>
      </c>
      <c r="D341" s="100" t="s">
        <v>216</v>
      </c>
      <c r="E341" s="89">
        <f>SUM(E339:E340)</f>
        <v>18079.55</v>
      </c>
      <c r="F341" s="89"/>
      <c r="G341" s="87">
        <f>SUM(G339:G340)</f>
        <v>65758.361949999991</v>
      </c>
      <c r="H341" s="87">
        <f>SUM(H339:H340)</f>
        <v>674344.59000000008</v>
      </c>
      <c r="I341" s="87">
        <f>546.38*5.6</f>
        <v>3059.7279999999996</v>
      </c>
      <c r="J341" s="87">
        <f>546.38*95</f>
        <v>51906.1</v>
      </c>
      <c r="K341" s="87"/>
      <c r="L341" s="87"/>
      <c r="M341" s="87"/>
      <c r="N341" s="87"/>
      <c r="O341" s="87"/>
      <c r="P341" s="221" t="s">
        <v>211</v>
      </c>
      <c r="Q341" s="87"/>
      <c r="R341" s="210"/>
      <c r="S341" s="87"/>
      <c r="T341" s="211"/>
    </row>
    <row r="342" spans="1:20" s="2" customFormat="1" ht="43.5" customHeight="1" x14ac:dyDescent="0.25">
      <c r="A342" s="20"/>
      <c r="B342" s="129"/>
      <c r="C342" s="131" t="s">
        <v>42</v>
      </c>
      <c r="D342" s="99" t="s">
        <v>218</v>
      </c>
      <c r="E342" s="93">
        <v>432.14</v>
      </c>
      <c r="F342" s="231" t="s">
        <v>210</v>
      </c>
      <c r="G342" s="94"/>
      <c r="H342" s="94"/>
      <c r="I342" s="94">
        <f>432.14*5.6</f>
        <v>2419.9839999999999</v>
      </c>
      <c r="J342" s="94">
        <f>432.14*95</f>
        <v>41053.299999999996</v>
      </c>
      <c r="K342" s="94"/>
      <c r="L342" s="94"/>
      <c r="M342" s="94"/>
      <c r="N342" s="94"/>
      <c r="O342" s="94"/>
      <c r="P342" s="220"/>
      <c r="Q342" s="94"/>
      <c r="R342" s="215"/>
      <c r="S342" s="94"/>
      <c r="T342" s="211"/>
    </row>
    <row r="343" spans="1:20" s="2" customFormat="1" ht="43.5" customHeight="1" x14ac:dyDescent="0.25">
      <c r="A343" s="20"/>
      <c r="B343" s="129"/>
      <c r="C343" s="131"/>
      <c r="D343" s="99" t="s">
        <v>220</v>
      </c>
      <c r="E343" s="93">
        <v>14.42</v>
      </c>
      <c r="F343" s="93"/>
      <c r="G343" s="94"/>
      <c r="H343" s="94"/>
      <c r="I343" s="94"/>
      <c r="J343" s="94"/>
      <c r="K343" s="94"/>
      <c r="L343" s="94"/>
      <c r="M343" s="94"/>
      <c r="N343" s="94"/>
      <c r="O343" s="94"/>
      <c r="P343" s="220"/>
      <c r="Q343" s="94"/>
      <c r="R343" s="215"/>
      <c r="S343" s="94"/>
      <c r="T343" s="211"/>
    </row>
    <row r="344" spans="1:20" s="2" customFormat="1" ht="43.5" customHeight="1" x14ac:dyDescent="0.25">
      <c r="A344" s="18"/>
      <c r="B344" s="122"/>
      <c r="C344" s="132" t="s">
        <v>42</v>
      </c>
      <c r="D344" s="100" t="s">
        <v>219</v>
      </c>
      <c r="E344" s="89">
        <f>SUM(E341:E342:E343)</f>
        <v>18526.109999999997</v>
      </c>
      <c r="F344" s="89"/>
      <c r="G344" s="87">
        <v>65758.36</v>
      </c>
      <c r="H344" s="87">
        <v>674344.59</v>
      </c>
      <c r="I344" s="87">
        <f>SUM(I341:I342)</f>
        <v>5479.7119999999995</v>
      </c>
      <c r="J344" s="87">
        <f>SUM(J341:J342)</f>
        <v>92959.4</v>
      </c>
      <c r="K344" s="87"/>
      <c r="L344" s="87"/>
      <c r="M344" s="87"/>
      <c r="N344" s="87"/>
      <c r="O344" s="87"/>
      <c r="P344" s="221" t="s">
        <v>211</v>
      </c>
      <c r="Q344" s="87"/>
      <c r="R344" s="210"/>
      <c r="S344" s="87"/>
      <c r="T344" s="211"/>
    </row>
    <row r="345" spans="1:20" s="236" customFormat="1" ht="43.5" customHeight="1" x14ac:dyDescent="0.25">
      <c r="A345" s="230"/>
      <c r="B345" s="237"/>
      <c r="C345" s="131" t="s">
        <v>42</v>
      </c>
      <c r="D345" s="99" t="s">
        <v>227</v>
      </c>
      <c r="E345" s="231">
        <v>376.08</v>
      </c>
      <c r="F345" s="231" t="s">
        <v>210</v>
      </c>
      <c r="G345" s="232">
        <f>5479.71+265.24*5.6</f>
        <v>6965.0540000000001</v>
      </c>
      <c r="H345" s="232">
        <f>92959.4+265.24*95</f>
        <v>118157.2</v>
      </c>
      <c r="I345" s="232">
        <f>110.84*5.6</f>
        <v>620.70399999999995</v>
      </c>
      <c r="J345" s="232">
        <f>110.84*95</f>
        <v>10529.800000000001</v>
      </c>
      <c r="K345" s="232"/>
      <c r="L345" s="232"/>
      <c r="M345" s="232"/>
      <c r="N345" s="232"/>
      <c r="O345" s="232"/>
      <c r="P345" s="233" t="s">
        <v>232</v>
      </c>
      <c r="Q345" s="232"/>
      <c r="R345" s="245"/>
      <c r="S345" s="232"/>
      <c r="T345" s="246"/>
    </row>
    <row r="346" spans="1:20" s="2" customFormat="1" ht="43.5" customHeight="1" x14ac:dyDescent="0.25">
      <c r="A346" s="18"/>
      <c r="B346" s="122"/>
      <c r="C346" s="132" t="s">
        <v>42</v>
      </c>
      <c r="D346" s="100" t="s">
        <v>228</v>
      </c>
      <c r="E346" s="89">
        <f>SUM(E344:E345)</f>
        <v>18902.189999999999</v>
      </c>
      <c r="F346" s="89"/>
      <c r="G346" s="87">
        <f>SUM(G344:G345)</f>
        <v>72723.414000000004</v>
      </c>
      <c r="H346" s="87">
        <f>SUM(H344:H345)</f>
        <v>792501.78999999992</v>
      </c>
      <c r="I346" s="87">
        <v>620.70000000000005</v>
      </c>
      <c r="J346" s="87">
        <v>10529.8</v>
      </c>
      <c r="K346" s="87"/>
      <c r="L346" s="87"/>
      <c r="M346" s="87"/>
      <c r="N346" s="87"/>
      <c r="O346" s="87"/>
      <c r="P346" s="221" t="s">
        <v>237</v>
      </c>
      <c r="Q346" s="87"/>
      <c r="R346" s="210"/>
      <c r="S346" s="87"/>
      <c r="T346" s="211"/>
    </row>
    <row r="347" spans="1:20" x14ac:dyDescent="0.25">
      <c r="A347" s="23"/>
      <c r="B347" s="23"/>
      <c r="C347" s="23"/>
      <c r="D347" s="36"/>
      <c r="E347" s="53"/>
      <c r="F347" s="35"/>
      <c r="G347" s="35"/>
      <c r="H347" s="35"/>
      <c r="I347" s="36"/>
      <c r="J347" s="36"/>
      <c r="K347" s="36"/>
      <c r="L347" s="36"/>
      <c r="M347" s="36"/>
      <c r="N347" s="36"/>
      <c r="O347" s="36"/>
      <c r="P347" s="36"/>
      <c r="Q347" s="36"/>
      <c r="R347" s="72"/>
      <c r="S347" s="55"/>
    </row>
    <row r="348" spans="1:20" ht="30" customHeight="1" x14ac:dyDescent="0.25">
      <c r="A348" s="20"/>
      <c r="B348" s="115" t="s">
        <v>40</v>
      </c>
      <c r="C348" s="131" t="s">
        <v>44</v>
      </c>
      <c r="D348" s="163">
        <v>2011</v>
      </c>
      <c r="E348" s="166">
        <v>6963.16</v>
      </c>
      <c r="F348" s="142">
        <v>3.18</v>
      </c>
      <c r="G348" s="94">
        <f>E348*F348</f>
        <v>22142.8488</v>
      </c>
      <c r="H348" s="94">
        <v>20889.45</v>
      </c>
      <c r="I348" s="94"/>
      <c r="J348" s="94"/>
      <c r="K348" s="94"/>
      <c r="L348" s="129"/>
      <c r="M348" s="129"/>
      <c r="N348" s="129"/>
      <c r="O348" s="129"/>
      <c r="P348" s="94">
        <v>0</v>
      </c>
      <c r="Q348" s="73"/>
      <c r="R348" s="74"/>
      <c r="S348" s="51"/>
    </row>
    <row r="349" spans="1:20" ht="25.5" x14ac:dyDescent="0.25">
      <c r="A349" s="16"/>
      <c r="B349" s="119"/>
      <c r="C349" s="136" t="s">
        <v>44</v>
      </c>
      <c r="D349" s="160">
        <v>2012</v>
      </c>
      <c r="E349" s="161">
        <v>6704.98</v>
      </c>
      <c r="F349" s="141">
        <v>3.18</v>
      </c>
      <c r="G349" s="94">
        <f>E349*F349</f>
        <v>21321.8364</v>
      </c>
      <c r="H349" s="94">
        <v>60344.82</v>
      </c>
      <c r="I349" s="84"/>
      <c r="J349" s="84"/>
      <c r="K349" s="94"/>
      <c r="L349" s="119"/>
      <c r="M349" s="119"/>
      <c r="N349" s="119"/>
      <c r="O349" s="119"/>
      <c r="P349" s="94">
        <v>0</v>
      </c>
      <c r="Q349" s="38"/>
      <c r="R349" s="75"/>
      <c r="S349" s="51"/>
    </row>
    <row r="350" spans="1:20" ht="39.75" customHeight="1" x14ac:dyDescent="0.25">
      <c r="A350" s="18"/>
      <c r="B350" s="122"/>
      <c r="C350" s="132" t="s">
        <v>44</v>
      </c>
      <c r="D350" s="96" t="s">
        <v>25</v>
      </c>
      <c r="E350" s="89">
        <f>SUM(E348:E349)</f>
        <v>13668.14</v>
      </c>
      <c r="F350" s="89"/>
      <c r="G350" s="87">
        <f t="shared" ref="G350:H350" si="94">SUM(G348:G349)</f>
        <v>43464.6852</v>
      </c>
      <c r="H350" s="87">
        <f t="shared" si="94"/>
        <v>81234.27</v>
      </c>
      <c r="I350" s="87"/>
      <c r="J350" s="87"/>
      <c r="K350" s="87"/>
      <c r="L350" s="122"/>
      <c r="M350" s="122"/>
      <c r="N350" s="122"/>
      <c r="O350" s="122"/>
      <c r="P350" s="87">
        <v>0</v>
      </c>
      <c r="Q350" s="76"/>
      <c r="R350" s="77"/>
      <c r="S350" s="50"/>
    </row>
    <row r="351" spans="1:20" ht="25.5" x14ac:dyDescent="0.25">
      <c r="A351" s="16"/>
      <c r="B351" s="119"/>
      <c r="C351" s="136" t="s">
        <v>44</v>
      </c>
      <c r="D351" s="120">
        <v>2013</v>
      </c>
      <c r="E351" s="161">
        <v>6874.55</v>
      </c>
      <c r="F351" s="141">
        <v>3.18</v>
      </c>
      <c r="G351" s="94">
        <f>E351*F351</f>
        <v>21861.069000000003</v>
      </c>
      <c r="H351" s="94">
        <v>103118.25</v>
      </c>
      <c r="I351" s="84"/>
      <c r="J351" s="84"/>
      <c r="K351" s="94"/>
      <c r="L351" s="119"/>
      <c r="M351" s="119"/>
      <c r="N351" s="119"/>
      <c r="O351" s="119"/>
      <c r="P351" s="94">
        <v>0</v>
      </c>
      <c r="Q351" s="38"/>
      <c r="R351" s="75"/>
      <c r="S351" s="51"/>
    </row>
    <row r="352" spans="1:20" ht="41.25" customHeight="1" x14ac:dyDescent="0.25">
      <c r="A352" s="18"/>
      <c r="B352" s="122"/>
      <c r="C352" s="132" t="s">
        <v>44</v>
      </c>
      <c r="D352" s="96" t="s">
        <v>38</v>
      </c>
      <c r="E352" s="89">
        <f>SUM(E350:E351)</f>
        <v>20542.689999999999</v>
      </c>
      <c r="F352" s="89"/>
      <c r="G352" s="87">
        <f t="shared" ref="G352:H352" si="95">SUM(G350:G351)</f>
        <v>65325.754200000003</v>
      </c>
      <c r="H352" s="87">
        <f t="shared" si="95"/>
        <v>184352.52000000002</v>
      </c>
      <c r="I352" s="87"/>
      <c r="J352" s="87"/>
      <c r="K352" s="87"/>
      <c r="L352" s="122"/>
      <c r="M352" s="122"/>
      <c r="N352" s="122"/>
      <c r="O352" s="122"/>
      <c r="P352" s="87">
        <v>0</v>
      </c>
      <c r="Q352" s="76"/>
      <c r="R352" s="77"/>
      <c r="S352" s="50"/>
    </row>
    <row r="353" spans="1:19" ht="25.5" x14ac:dyDescent="0.25">
      <c r="A353" s="16"/>
      <c r="B353" s="119"/>
      <c r="C353" s="136" t="s">
        <v>44</v>
      </c>
      <c r="D353" s="120">
        <v>2014</v>
      </c>
      <c r="E353" s="161">
        <v>6796.69</v>
      </c>
      <c r="F353" s="141">
        <v>3.18</v>
      </c>
      <c r="G353" s="94">
        <f>E353*F353</f>
        <v>21613.474200000001</v>
      </c>
      <c r="H353" s="94">
        <v>149527.18</v>
      </c>
      <c r="I353" s="84"/>
      <c r="J353" s="84"/>
      <c r="K353" s="94"/>
      <c r="L353" s="119"/>
      <c r="M353" s="119"/>
      <c r="N353" s="119"/>
      <c r="O353" s="119"/>
      <c r="P353" s="94">
        <v>0</v>
      </c>
      <c r="Q353" s="38"/>
      <c r="R353" s="75"/>
      <c r="S353" s="51"/>
    </row>
    <row r="354" spans="1:19" ht="39" customHeight="1" x14ac:dyDescent="0.25">
      <c r="A354" s="18"/>
      <c r="B354" s="122"/>
      <c r="C354" s="132" t="s">
        <v>44</v>
      </c>
      <c r="D354" s="96" t="s">
        <v>24</v>
      </c>
      <c r="E354" s="89">
        <f>SUM(E352:E353)</f>
        <v>27339.379999999997</v>
      </c>
      <c r="F354" s="89"/>
      <c r="G354" s="87">
        <f t="shared" ref="G354:H354" si="96">SUM(G352:G353)</f>
        <v>86939.228400000007</v>
      </c>
      <c r="H354" s="87">
        <f t="shared" si="96"/>
        <v>333879.7</v>
      </c>
      <c r="I354" s="87"/>
      <c r="J354" s="87"/>
      <c r="K354" s="87"/>
      <c r="L354" s="122"/>
      <c r="M354" s="122"/>
      <c r="N354" s="122"/>
      <c r="O354" s="122"/>
      <c r="P354" s="87">
        <v>0</v>
      </c>
      <c r="Q354" s="76"/>
      <c r="R354" s="77"/>
      <c r="S354" s="50"/>
    </row>
    <row r="355" spans="1:19" ht="25.5" x14ac:dyDescent="0.25">
      <c r="A355" s="16"/>
      <c r="B355" s="119"/>
      <c r="C355" s="136" t="s">
        <v>44</v>
      </c>
      <c r="D355" s="120">
        <v>2015</v>
      </c>
      <c r="E355" s="161">
        <v>7192.78</v>
      </c>
      <c r="F355" s="141">
        <v>3.37</v>
      </c>
      <c r="G355" s="94">
        <f>E355*F355</f>
        <v>24239.668600000001</v>
      </c>
      <c r="H355" s="94">
        <v>201397.84</v>
      </c>
      <c r="I355" s="84"/>
      <c r="J355" s="84"/>
      <c r="K355" s="94"/>
      <c r="L355" s="119"/>
      <c r="M355" s="119"/>
      <c r="N355" s="119"/>
      <c r="O355" s="119"/>
      <c r="P355" s="94">
        <v>0</v>
      </c>
      <c r="Q355" s="38"/>
      <c r="R355" s="75"/>
      <c r="S355" s="51"/>
    </row>
    <row r="356" spans="1:19" ht="39" customHeight="1" x14ac:dyDescent="0.25">
      <c r="A356" s="18"/>
      <c r="B356" s="122"/>
      <c r="C356" s="132" t="s">
        <v>44</v>
      </c>
      <c r="D356" s="96" t="s">
        <v>26</v>
      </c>
      <c r="E356" s="89">
        <f>SUM(E354:E355)</f>
        <v>34532.159999999996</v>
      </c>
      <c r="F356" s="89"/>
      <c r="G356" s="87">
        <f t="shared" ref="G356:H356" si="97">SUM(G354:G355)</f>
        <v>111178.89700000001</v>
      </c>
      <c r="H356" s="87">
        <f t="shared" si="97"/>
        <v>535277.54</v>
      </c>
      <c r="I356" s="87"/>
      <c r="J356" s="87"/>
      <c r="K356" s="87"/>
      <c r="L356" s="122"/>
      <c r="M356" s="122"/>
      <c r="N356" s="122"/>
      <c r="O356" s="122"/>
      <c r="P356" s="87">
        <v>0</v>
      </c>
      <c r="Q356" s="76"/>
      <c r="R356" s="77"/>
      <c r="S356" s="50"/>
    </row>
    <row r="357" spans="1:19" ht="25.5" x14ac:dyDescent="0.25">
      <c r="A357" s="16"/>
      <c r="B357" s="119"/>
      <c r="C357" s="136" t="s">
        <v>44</v>
      </c>
      <c r="D357" s="99" t="s">
        <v>29</v>
      </c>
      <c r="E357" s="137">
        <v>1533.39</v>
      </c>
      <c r="F357" s="141">
        <v>3.37</v>
      </c>
      <c r="G357" s="94">
        <f>E357*F357</f>
        <v>5167.5243000000009</v>
      </c>
      <c r="H357" s="94">
        <v>55202.04</v>
      </c>
      <c r="I357" s="84"/>
      <c r="J357" s="84"/>
      <c r="K357" s="94"/>
      <c r="L357" s="119"/>
      <c r="M357" s="119"/>
      <c r="N357" s="119"/>
      <c r="O357" s="119"/>
      <c r="P357" s="94">
        <v>0</v>
      </c>
      <c r="Q357" s="38"/>
      <c r="R357" s="75"/>
      <c r="S357" s="51"/>
    </row>
    <row r="358" spans="1:19" ht="38.25" x14ac:dyDescent="0.25">
      <c r="A358" s="18"/>
      <c r="B358" s="122"/>
      <c r="C358" s="132" t="s">
        <v>44</v>
      </c>
      <c r="D358" s="100" t="s">
        <v>30</v>
      </c>
      <c r="E358" s="89">
        <f>SUM(E356:E357)</f>
        <v>36065.549999999996</v>
      </c>
      <c r="F358" s="89"/>
      <c r="G358" s="87">
        <f t="shared" ref="G358:H358" si="98">SUM(G356:G357)</f>
        <v>116346.42130000002</v>
      </c>
      <c r="H358" s="87">
        <f t="shared" si="98"/>
        <v>590479.58000000007</v>
      </c>
      <c r="I358" s="87"/>
      <c r="J358" s="87"/>
      <c r="K358" s="87"/>
      <c r="L358" s="122"/>
      <c r="M358" s="122"/>
      <c r="N358" s="122"/>
      <c r="O358" s="122"/>
      <c r="P358" s="87">
        <v>0</v>
      </c>
      <c r="Q358" s="76"/>
      <c r="R358" s="77"/>
      <c r="S358" s="50"/>
    </row>
    <row r="359" spans="1:19" ht="25.5" x14ac:dyDescent="0.25">
      <c r="A359" s="16"/>
      <c r="B359" s="119"/>
      <c r="C359" s="136" t="s">
        <v>44</v>
      </c>
      <c r="D359" s="99" t="s">
        <v>31</v>
      </c>
      <c r="E359" s="137">
        <v>1830.24</v>
      </c>
      <c r="F359" s="141">
        <v>3.37</v>
      </c>
      <c r="G359" s="94">
        <f>E359*F359</f>
        <v>6167.9088000000002</v>
      </c>
      <c r="H359" s="94">
        <v>65888.639999999999</v>
      </c>
      <c r="I359" s="84"/>
      <c r="J359" s="84"/>
      <c r="K359" s="94"/>
      <c r="L359" s="119"/>
      <c r="M359" s="119"/>
      <c r="N359" s="119"/>
      <c r="O359" s="119"/>
      <c r="P359" s="94">
        <v>0</v>
      </c>
      <c r="Q359" s="38"/>
      <c r="R359" s="75"/>
      <c r="S359" s="51"/>
    </row>
    <row r="360" spans="1:19" ht="38.25" x14ac:dyDescent="0.25">
      <c r="A360" s="16"/>
      <c r="B360" s="119"/>
      <c r="C360" s="101" t="s">
        <v>46</v>
      </c>
      <c r="D360" s="99"/>
      <c r="E360" s="137">
        <v>24.66</v>
      </c>
      <c r="F360" s="84">
        <v>0</v>
      </c>
      <c r="G360" s="94">
        <v>0</v>
      </c>
      <c r="H360" s="94">
        <v>0</v>
      </c>
      <c r="I360" s="84"/>
      <c r="J360" s="84"/>
      <c r="K360" s="84"/>
      <c r="L360" s="119"/>
      <c r="M360" s="119"/>
      <c r="N360" s="119"/>
      <c r="O360" s="119"/>
      <c r="P360" s="94"/>
      <c r="Q360" s="38"/>
      <c r="R360" s="75"/>
      <c r="S360" s="51"/>
    </row>
    <row r="361" spans="1:19" ht="39.75" customHeight="1" x14ac:dyDescent="0.25">
      <c r="A361" s="18"/>
      <c r="B361" s="122"/>
      <c r="C361" s="132" t="s">
        <v>44</v>
      </c>
      <c r="D361" s="100" t="s">
        <v>32</v>
      </c>
      <c r="E361" s="89">
        <f>SUM(E358:E360)</f>
        <v>37920.449999999997</v>
      </c>
      <c r="F361" s="89"/>
      <c r="G361" s="87">
        <f t="shared" ref="G361:H361" si="99">SUM(G358:G360)</f>
        <v>122514.33010000002</v>
      </c>
      <c r="H361" s="87">
        <f t="shared" si="99"/>
        <v>656368.22000000009</v>
      </c>
      <c r="I361" s="87"/>
      <c r="J361" s="87"/>
      <c r="K361" s="87"/>
      <c r="L361" s="122"/>
      <c r="M361" s="122"/>
      <c r="N361" s="122"/>
      <c r="O361" s="122"/>
      <c r="P361" s="87">
        <v>0</v>
      </c>
      <c r="Q361" s="76"/>
      <c r="R361" s="77"/>
      <c r="S361" s="50"/>
    </row>
    <row r="362" spans="1:19" ht="25.5" x14ac:dyDescent="0.25">
      <c r="A362" s="16"/>
      <c r="B362" s="119"/>
      <c r="C362" s="136" t="s">
        <v>44</v>
      </c>
      <c r="D362" s="99" t="s">
        <v>33</v>
      </c>
      <c r="E362" s="137">
        <v>1854.61</v>
      </c>
      <c r="F362" s="141">
        <v>3.37</v>
      </c>
      <c r="G362" s="94">
        <f>E362*F362</f>
        <v>6250.0356999999995</v>
      </c>
      <c r="H362" s="94">
        <v>66765.960000000006</v>
      </c>
      <c r="I362" s="84"/>
      <c r="J362" s="84"/>
      <c r="K362" s="94"/>
      <c r="L362" s="164"/>
      <c r="M362" s="119"/>
      <c r="N362" s="119"/>
      <c r="O362" s="119"/>
      <c r="P362" s="94">
        <v>0</v>
      </c>
      <c r="Q362" s="38"/>
      <c r="R362" s="75"/>
      <c r="S362" s="51"/>
    </row>
    <row r="363" spans="1:19" ht="38.25" x14ac:dyDescent="0.25">
      <c r="A363" s="18"/>
      <c r="B363" s="122"/>
      <c r="C363" s="132" t="s">
        <v>44</v>
      </c>
      <c r="D363" s="100" t="s">
        <v>35</v>
      </c>
      <c r="E363" s="89">
        <f>SUM(E361:E362)</f>
        <v>39775.06</v>
      </c>
      <c r="F363" s="89"/>
      <c r="G363" s="87">
        <f t="shared" ref="G363:H363" si="100">SUM(G361:G362)</f>
        <v>128764.36580000001</v>
      </c>
      <c r="H363" s="87">
        <f t="shared" si="100"/>
        <v>723134.18</v>
      </c>
      <c r="I363" s="87"/>
      <c r="J363" s="87"/>
      <c r="K363" s="87"/>
      <c r="L363" s="122"/>
      <c r="M363" s="122"/>
      <c r="N363" s="122"/>
      <c r="O363" s="122"/>
      <c r="P363" s="87">
        <v>0</v>
      </c>
      <c r="Q363" s="76"/>
      <c r="R363" s="77"/>
      <c r="S363" s="50"/>
    </row>
    <row r="364" spans="1:19" ht="25.5" x14ac:dyDescent="0.25">
      <c r="A364" s="16"/>
      <c r="B364" s="119"/>
      <c r="C364" s="136" t="s">
        <v>44</v>
      </c>
      <c r="D364" s="99" t="s">
        <v>34</v>
      </c>
      <c r="E364" s="137">
        <v>1647.596</v>
      </c>
      <c r="F364" s="141">
        <v>3.37</v>
      </c>
      <c r="G364" s="94">
        <f>E364*F364</f>
        <v>5552.3985199999997</v>
      </c>
      <c r="H364" s="94">
        <v>59313.455999999998</v>
      </c>
      <c r="I364" s="84"/>
      <c r="J364" s="84"/>
      <c r="K364" s="94"/>
      <c r="L364" s="119"/>
      <c r="M364" s="119"/>
      <c r="N364" s="119"/>
      <c r="O364" s="119"/>
      <c r="P364" s="94">
        <v>0</v>
      </c>
      <c r="Q364" s="38"/>
      <c r="R364" s="75"/>
      <c r="S364" s="51"/>
    </row>
    <row r="365" spans="1:19" ht="38.25" x14ac:dyDescent="0.25">
      <c r="A365" s="18"/>
      <c r="B365" s="122"/>
      <c r="C365" s="132" t="s">
        <v>44</v>
      </c>
      <c r="D365" s="100" t="s">
        <v>36</v>
      </c>
      <c r="E365" s="89">
        <f>SUM(E363:E364)</f>
        <v>41422.655999999995</v>
      </c>
      <c r="F365" s="89"/>
      <c r="G365" s="87">
        <f t="shared" ref="G365:H365" si="101">SUM(G363:G364)</f>
        <v>134316.76432000002</v>
      </c>
      <c r="H365" s="87">
        <f t="shared" si="101"/>
        <v>782447.63600000006</v>
      </c>
      <c r="I365" s="87"/>
      <c r="J365" s="87"/>
      <c r="K365" s="87"/>
      <c r="L365" s="122"/>
      <c r="M365" s="122"/>
      <c r="N365" s="122"/>
      <c r="O365" s="122"/>
      <c r="P365" s="87">
        <v>0</v>
      </c>
      <c r="Q365" s="76"/>
      <c r="R365" s="77"/>
      <c r="S365" s="50"/>
    </row>
    <row r="366" spans="1:19" s="2" customFormat="1" ht="25.5" x14ac:dyDescent="0.25">
      <c r="A366" s="20"/>
      <c r="B366" s="129"/>
      <c r="C366" s="131" t="s">
        <v>44</v>
      </c>
      <c r="D366" s="99" t="s">
        <v>57</v>
      </c>
      <c r="E366" s="93">
        <v>1405.7</v>
      </c>
      <c r="F366" s="94">
        <v>3.37</v>
      </c>
      <c r="G366" s="94">
        <f>E366*F366</f>
        <v>4737.2090000000007</v>
      </c>
      <c r="H366" s="94">
        <v>56228</v>
      </c>
      <c r="I366" s="94"/>
      <c r="J366" s="94"/>
      <c r="K366" s="94"/>
      <c r="L366" s="129"/>
      <c r="M366" s="129"/>
      <c r="N366" s="129"/>
      <c r="O366" s="129"/>
      <c r="P366" s="94">
        <v>0</v>
      </c>
      <c r="Q366" s="73"/>
      <c r="R366" s="74"/>
      <c r="S366" s="47"/>
    </row>
    <row r="367" spans="1:19" s="2" customFormat="1" ht="38.25" x14ac:dyDescent="0.25">
      <c r="A367" s="18"/>
      <c r="B367" s="122"/>
      <c r="C367" s="132" t="s">
        <v>44</v>
      </c>
      <c r="D367" s="100" t="s">
        <v>58</v>
      </c>
      <c r="E367" s="89">
        <f>SUM(E365:E366)</f>
        <v>42828.355999999992</v>
      </c>
      <c r="F367" s="89"/>
      <c r="G367" s="87">
        <f t="shared" ref="G367:H367" si="102">SUM(G365:G366)</f>
        <v>139053.97332000002</v>
      </c>
      <c r="H367" s="87">
        <f t="shared" si="102"/>
        <v>838675.63600000006</v>
      </c>
      <c r="I367" s="87"/>
      <c r="J367" s="87"/>
      <c r="K367" s="87"/>
      <c r="L367" s="122"/>
      <c r="M367" s="122"/>
      <c r="N367" s="122"/>
      <c r="O367" s="122"/>
      <c r="P367" s="87">
        <v>0</v>
      </c>
      <c r="Q367" s="76"/>
      <c r="R367" s="77"/>
      <c r="S367" s="50"/>
    </row>
    <row r="368" spans="1:19" s="2" customFormat="1" ht="25.5" x14ac:dyDescent="0.25">
      <c r="A368" s="20"/>
      <c r="B368" s="129"/>
      <c r="C368" s="131" t="s">
        <v>44</v>
      </c>
      <c r="D368" s="99" t="s">
        <v>61</v>
      </c>
      <c r="E368" s="93">
        <v>1746.58</v>
      </c>
      <c r="F368" s="94">
        <v>3.37</v>
      </c>
      <c r="G368" s="94">
        <f>E368*F368</f>
        <v>5885.9745999999996</v>
      </c>
      <c r="H368" s="94">
        <v>69863.199999999997</v>
      </c>
      <c r="I368" s="94"/>
      <c r="J368" s="94"/>
      <c r="K368" s="94"/>
      <c r="L368" s="129"/>
      <c r="M368" s="129"/>
      <c r="N368" s="129"/>
      <c r="O368" s="129"/>
      <c r="P368" s="106">
        <v>151121.09</v>
      </c>
      <c r="Q368" s="73"/>
      <c r="R368" s="74"/>
      <c r="S368" s="47"/>
    </row>
    <row r="369" spans="1:19" s="2" customFormat="1" ht="42.75" customHeight="1" x14ac:dyDescent="0.25">
      <c r="A369" s="18"/>
      <c r="B369" s="122"/>
      <c r="C369" s="132" t="s">
        <v>44</v>
      </c>
      <c r="D369" s="100" t="s">
        <v>63</v>
      </c>
      <c r="E369" s="89">
        <f>SUM(E367:E368)</f>
        <v>44574.935999999994</v>
      </c>
      <c r="F369" s="89"/>
      <c r="G369" s="87">
        <f t="shared" ref="G369:H369" si="103">SUM(G367:G368)</f>
        <v>144939.94792000001</v>
      </c>
      <c r="H369" s="87">
        <f t="shared" si="103"/>
        <v>908538.83600000001</v>
      </c>
      <c r="I369" s="87"/>
      <c r="J369" s="87"/>
      <c r="K369" s="87"/>
      <c r="L369" s="122"/>
      <c r="M369" s="122"/>
      <c r="N369" s="122"/>
      <c r="O369" s="122"/>
      <c r="P369" s="105">
        <v>151121.09</v>
      </c>
      <c r="Q369" s="76"/>
      <c r="R369" s="77"/>
      <c r="S369" s="50"/>
    </row>
    <row r="370" spans="1:19" s="2" customFormat="1" ht="75" customHeight="1" x14ac:dyDescent="0.25">
      <c r="A370" s="20"/>
      <c r="B370" s="129"/>
      <c r="C370" s="131" t="s">
        <v>44</v>
      </c>
      <c r="D370" s="99" t="s">
        <v>64</v>
      </c>
      <c r="E370" s="93">
        <v>1916.34</v>
      </c>
      <c r="F370" s="94">
        <v>3.37</v>
      </c>
      <c r="G370" s="94">
        <f>E370*F370</f>
        <v>6458.0658000000003</v>
      </c>
      <c r="H370" s="94">
        <v>76653.600000000006</v>
      </c>
      <c r="I370" s="94"/>
      <c r="J370" s="94"/>
      <c r="K370" s="94"/>
      <c r="L370" s="129"/>
      <c r="M370" s="129"/>
      <c r="N370" s="129"/>
      <c r="O370" s="129"/>
      <c r="P370" s="187" t="s">
        <v>75</v>
      </c>
      <c r="Q370" s="73"/>
      <c r="R370" s="73"/>
      <c r="S370" s="180"/>
    </row>
    <row r="371" spans="1:19" s="2" customFormat="1" ht="39" customHeight="1" x14ac:dyDescent="0.25">
      <c r="A371" s="20"/>
      <c r="B371" s="129"/>
      <c r="C371" s="131" t="s">
        <v>46</v>
      </c>
      <c r="D371" s="104"/>
      <c r="E371" s="93">
        <v>28</v>
      </c>
      <c r="F371" s="94">
        <v>0</v>
      </c>
      <c r="G371" s="94">
        <v>0</v>
      </c>
      <c r="H371" s="94">
        <v>0</v>
      </c>
      <c r="I371" s="94"/>
      <c r="J371" s="94"/>
      <c r="K371" s="94"/>
      <c r="L371" s="129"/>
      <c r="M371" s="129"/>
      <c r="N371" s="129"/>
      <c r="O371" s="129"/>
      <c r="P371" s="106"/>
      <c r="Q371" s="73"/>
      <c r="R371" s="74"/>
      <c r="S371" s="47"/>
    </row>
    <row r="372" spans="1:19" s="2" customFormat="1" ht="39.75" customHeight="1" x14ac:dyDescent="0.25">
      <c r="A372" s="18"/>
      <c r="B372" s="122"/>
      <c r="C372" s="132" t="s">
        <v>44</v>
      </c>
      <c r="D372" s="100" t="s">
        <v>65</v>
      </c>
      <c r="E372" s="89">
        <f>SUM(E369:E371)</f>
        <v>46519.275999999991</v>
      </c>
      <c r="F372" s="89"/>
      <c r="G372" s="87">
        <f>SUM(G369:G371)</f>
        <v>151398.01372000002</v>
      </c>
      <c r="H372" s="87">
        <f>SUM(H369:H371)</f>
        <v>985192.43599999999</v>
      </c>
      <c r="I372" s="87"/>
      <c r="J372" s="87"/>
      <c r="K372" s="87"/>
      <c r="L372" s="122"/>
      <c r="M372" s="122"/>
      <c r="N372" s="122"/>
      <c r="O372" s="122"/>
      <c r="P372" s="105">
        <v>53321.09</v>
      </c>
      <c r="Q372" s="76"/>
      <c r="R372" s="77"/>
      <c r="S372" s="50"/>
    </row>
    <row r="373" spans="1:19" s="2" customFormat="1" ht="27" customHeight="1" x14ac:dyDescent="0.25">
      <c r="A373" s="20"/>
      <c r="B373" s="129"/>
      <c r="C373" s="131" t="s">
        <v>44</v>
      </c>
      <c r="D373" s="99" t="s">
        <v>70</v>
      </c>
      <c r="E373" s="93">
        <v>1541.72</v>
      </c>
      <c r="F373" s="94">
        <v>3.37</v>
      </c>
      <c r="G373" s="94">
        <v>5195.5964000000004</v>
      </c>
      <c r="H373" s="94">
        <v>61668.800000000003</v>
      </c>
      <c r="I373" s="94"/>
      <c r="J373" s="94"/>
      <c r="K373" s="94"/>
      <c r="L373" s="129"/>
      <c r="M373" s="129"/>
      <c r="N373" s="129"/>
      <c r="O373" s="129"/>
      <c r="P373" s="106">
        <v>0</v>
      </c>
      <c r="Q373" s="73"/>
      <c r="R373" s="74"/>
      <c r="S373" s="47"/>
    </row>
    <row r="374" spans="1:19" s="2" customFormat="1" ht="42" customHeight="1" x14ac:dyDescent="0.25">
      <c r="A374" s="18"/>
      <c r="B374" s="122"/>
      <c r="C374" s="132" t="s">
        <v>44</v>
      </c>
      <c r="D374" s="100" t="s">
        <v>69</v>
      </c>
      <c r="E374" s="89">
        <f>SUM(E372:E373)</f>
        <v>48060.995999999992</v>
      </c>
      <c r="F374" s="89"/>
      <c r="G374" s="87">
        <f t="shared" ref="G374:H374" si="104">SUM(G372:G373)</f>
        <v>156593.61012000003</v>
      </c>
      <c r="H374" s="87">
        <f t="shared" si="104"/>
        <v>1046861.236</v>
      </c>
      <c r="I374" s="87"/>
      <c r="J374" s="87"/>
      <c r="K374" s="87"/>
      <c r="L374" s="122"/>
      <c r="M374" s="122"/>
      <c r="N374" s="122"/>
      <c r="O374" s="122"/>
      <c r="P374" s="105">
        <v>53321.09</v>
      </c>
      <c r="Q374" s="76"/>
      <c r="R374" s="77"/>
      <c r="S374" s="50"/>
    </row>
    <row r="375" spans="1:19" s="2" customFormat="1" ht="28.5" customHeight="1" x14ac:dyDescent="0.25">
      <c r="A375" s="20"/>
      <c r="B375" s="129"/>
      <c r="C375" s="131" t="s">
        <v>44</v>
      </c>
      <c r="D375" s="99" t="s">
        <v>71</v>
      </c>
      <c r="E375" s="93">
        <v>1420.84</v>
      </c>
      <c r="F375" s="94">
        <v>3.45</v>
      </c>
      <c r="G375" s="94">
        <f>E375*F375</f>
        <v>4901.8980000000001</v>
      </c>
      <c r="H375" s="94">
        <f>E375*45</f>
        <v>63937.799999999996</v>
      </c>
      <c r="I375" s="94"/>
      <c r="J375" s="94"/>
      <c r="K375" s="94"/>
      <c r="L375" s="129"/>
      <c r="M375" s="129"/>
      <c r="N375" s="129"/>
      <c r="O375" s="129"/>
      <c r="P375" s="106">
        <v>0</v>
      </c>
      <c r="Q375" s="73"/>
      <c r="R375" s="74"/>
      <c r="S375" s="47"/>
    </row>
    <row r="376" spans="1:19" s="2" customFormat="1" ht="39.75" customHeight="1" x14ac:dyDescent="0.25">
      <c r="A376" s="18"/>
      <c r="B376" s="122"/>
      <c r="C376" s="132" t="s">
        <v>44</v>
      </c>
      <c r="D376" s="100" t="s">
        <v>72</v>
      </c>
      <c r="E376" s="89">
        <f>SUM(E374:E375)</f>
        <v>49481.835999999988</v>
      </c>
      <c r="F376" s="89"/>
      <c r="G376" s="87">
        <f t="shared" ref="G376:H376" si="105">SUM(G374:G375)</f>
        <v>161495.50812000001</v>
      </c>
      <c r="H376" s="87">
        <f t="shared" si="105"/>
        <v>1110799.0360000001</v>
      </c>
      <c r="I376" s="87"/>
      <c r="J376" s="87"/>
      <c r="K376" s="87"/>
      <c r="L376" s="122"/>
      <c r="M376" s="122"/>
      <c r="N376" s="122"/>
      <c r="O376" s="122"/>
      <c r="P376" s="105">
        <v>53321.09</v>
      </c>
      <c r="Q376" s="76"/>
      <c r="R376" s="77"/>
      <c r="S376" s="50"/>
    </row>
    <row r="377" spans="1:19" s="2" customFormat="1" ht="28.5" customHeight="1" x14ac:dyDescent="0.25">
      <c r="A377" s="20"/>
      <c r="B377" s="129"/>
      <c r="C377" s="131" t="s">
        <v>44</v>
      </c>
      <c r="D377" s="99" t="s">
        <v>73</v>
      </c>
      <c r="E377" s="93">
        <v>1970.8</v>
      </c>
      <c r="F377" s="94">
        <v>3.45</v>
      </c>
      <c r="G377" s="94">
        <f>E377*F377</f>
        <v>6799.26</v>
      </c>
      <c r="H377" s="94">
        <f>E377*45</f>
        <v>88686</v>
      </c>
      <c r="I377" s="94"/>
      <c r="J377" s="94"/>
      <c r="K377" s="94"/>
      <c r="L377" s="129"/>
      <c r="M377" s="129"/>
      <c r="N377" s="129"/>
      <c r="O377" s="129"/>
      <c r="P377" s="106">
        <v>0</v>
      </c>
      <c r="Q377" s="73"/>
      <c r="R377" s="74"/>
      <c r="S377" s="47"/>
    </row>
    <row r="378" spans="1:19" s="2" customFormat="1" ht="39.75" customHeight="1" x14ac:dyDescent="0.25">
      <c r="A378" s="18"/>
      <c r="B378" s="122"/>
      <c r="C378" s="132" t="s">
        <v>44</v>
      </c>
      <c r="D378" s="100" t="s">
        <v>74</v>
      </c>
      <c r="E378" s="89">
        <f>SUM(E376:E377)</f>
        <v>51452.635999999991</v>
      </c>
      <c r="F378" s="89"/>
      <c r="G378" s="87">
        <f t="shared" ref="G378:H378" si="106">SUM(G376:G377)</f>
        <v>168294.76812000002</v>
      </c>
      <c r="H378" s="87">
        <f t="shared" si="106"/>
        <v>1199485.0360000001</v>
      </c>
      <c r="I378" s="87"/>
      <c r="J378" s="87"/>
      <c r="K378" s="87"/>
      <c r="L378" s="122"/>
      <c r="M378" s="122"/>
      <c r="N378" s="122"/>
      <c r="O378" s="122"/>
      <c r="P378" s="105">
        <v>53321.09</v>
      </c>
      <c r="Q378" s="76"/>
      <c r="R378" s="77"/>
      <c r="S378" s="50"/>
    </row>
    <row r="379" spans="1:19" s="2" customFormat="1" ht="30.75" customHeight="1" x14ac:dyDescent="0.25">
      <c r="A379" s="20"/>
      <c r="B379" s="129"/>
      <c r="C379" s="131" t="s">
        <v>44</v>
      </c>
      <c r="D379" s="99" t="s">
        <v>76</v>
      </c>
      <c r="E379" s="93">
        <v>1738.65</v>
      </c>
      <c r="F379" s="94">
        <v>3.45</v>
      </c>
      <c r="G379" s="94">
        <f>E379*F379</f>
        <v>5998.3425000000007</v>
      </c>
      <c r="H379" s="94">
        <f>E379*45</f>
        <v>78239.25</v>
      </c>
      <c r="I379" s="94"/>
      <c r="J379" s="94"/>
      <c r="K379" s="94"/>
      <c r="L379" s="129"/>
      <c r="M379" s="129"/>
      <c r="N379" s="129"/>
      <c r="O379" s="129"/>
      <c r="P379" s="106">
        <v>0</v>
      </c>
      <c r="Q379" s="73"/>
      <c r="R379" s="74"/>
      <c r="S379" s="47"/>
    </row>
    <row r="380" spans="1:19" s="2" customFormat="1" ht="39.75" customHeight="1" x14ac:dyDescent="0.25">
      <c r="A380" s="20"/>
      <c r="B380" s="129"/>
      <c r="C380" s="131" t="s">
        <v>46</v>
      </c>
      <c r="D380" s="104"/>
      <c r="E380" s="93">
        <v>47.3</v>
      </c>
      <c r="F380" s="94">
        <v>0</v>
      </c>
      <c r="G380" s="94">
        <v>0</v>
      </c>
      <c r="H380" s="94">
        <v>0</v>
      </c>
      <c r="I380" s="94"/>
      <c r="J380" s="94"/>
      <c r="K380" s="94"/>
      <c r="L380" s="129"/>
      <c r="M380" s="129"/>
      <c r="N380" s="129"/>
      <c r="O380" s="129"/>
      <c r="P380" s="106"/>
      <c r="Q380" s="73"/>
      <c r="R380" s="74"/>
      <c r="S380" s="47"/>
    </row>
    <row r="381" spans="1:19" s="2" customFormat="1" ht="40.5" customHeight="1" x14ac:dyDescent="0.25">
      <c r="A381" s="18"/>
      <c r="B381" s="122"/>
      <c r="C381" s="132" t="s">
        <v>44</v>
      </c>
      <c r="D381" s="100" t="s">
        <v>77</v>
      </c>
      <c r="E381" s="89">
        <f>SUM(E378:E380)</f>
        <v>53238.585999999996</v>
      </c>
      <c r="F381" s="89"/>
      <c r="G381" s="87">
        <f t="shared" ref="G381:H381" si="107">SUM(G378:G380)</f>
        <v>174293.11062000002</v>
      </c>
      <c r="H381" s="87">
        <f t="shared" si="107"/>
        <v>1277724.2860000001</v>
      </c>
      <c r="I381" s="87"/>
      <c r="J381" s="87"/>
      <c r="K381" s="87"/>
      <c r="L381" s="122"/>
      <c r="M381" s="122"/>
      <c r="N381" s="122"/>
      <c r="O381" s="122"/>
      <c r="P381" s="105">
        <v>53321.09</v>
      </c>
      <c r="Q381" s="76"/>
      <c r="R381" s="77"/>
      <c r="S381" s="50"/>
    </row>
    <row r="382" spans="1:19" s="2" customFormat="1" ht="30.75" customHeight="1" x14ac:dyDescent="0.25">
      <c r="A382" s="20"/>
      <c r="B382" s="129"/>
      <c r="C382" s="131" t="s">
        <v>44</v>
      </c>
      <c r="D382" s="99" t="s">
        <v>80</v>
      </c>
      <c r="E382" s="93">
        <v>545.15</v>
      </c>
      <c r="F382" s="94">
        <v>3.45</v>
      </c>
      <c r="G382" s="94">
        <f>E382*F382</f>
        <v>1880.7674999999999</v>
      </c>
      <c r="H382" s="94">
        <f>E382*45</f>
        <v>24531.75</v>
      </c>
      <c r="I382" s="94"/>
      <c r="J382" s="94"/>
      <c r="K382" s="94"/>
      <c r="L382" s="129"/>
      <c r="M382" s="129"/>
      <c r="N382" s="129"/>
      <c r="O382" s="129"/>
      <c r="P382" s="106">
        <v>206149.14</v>
      </c>
      <c r="Q382" s="73"/>
      <c r="R382" s="74"/>
      <c r="S382" s="47"/>
    </row>
    <row r="383" spans="1:19" s="2" customFormat="1" ht="40.5" customHeight="1" x14ac:dyDescent="0.25">
      <c r="A383" s="18"/>
      <c r="B383" s="122"/>
      <c r="C383" s="132" t="s">
        <v>44</v>
      </c>
      <c r="D383" s="100" t="s">
        <v>79</v>
      </c>
      <c r="E383" s="89">
        <f>SUM(E381:E382)</f>
        <v>53783.735999999997</v>
      </c>
      <c r="F383" s="89"/>
      <c r="G383" s="87">
        <f t="shared" ref="G383:H383" si="108">SUM(G381:G382)</f>
        <v>176173.87812000001</v>
      </c>
      <c r="H383" s="87">
        <f t="shared" si="108"/>
        <v>1302256.0360000001</v>
      </c>
      <c r="I383" s="87"/>
      <c r="J383" s="87"/>
      <c r="K383" s="87"/>
      <c r="L383" s="122"/>
      <c r="M383" s="122"/>
      <c r="N383" s="122"/>
      <c r="O383" s="122"/>
      <c r="P383" s="105">
        <f>P381+P382</f>
        <v>259470.23</v>
      </c>
      <c r="Q383" s="76"/>
      <c r="R383" s="77"/>
      <c r="S383" s="50"/>
    </row>
    <row r="384" spans="1:19" s="2" customFormat="1" ht="33.75" customHeight="1" x14ac:dyDescent="0.25">
      <c r="A384" s="20"/>
      <c r="B384" s="129"/>
      <c r="C384" s="131" t="s">
        <v>44</v>
      </c>
      <c r="D384" s="99" t="s">
        <v>83</v>
      </c>
      <c r="E384" s="93">
        <v>362.56</v>
      </c>
      <c r="F384" s="94">
        <v>3.45</v>
      </c>
      <c r="G384" s="94">
        <f>E384*F384</f>
        <v>1250.8320000000001</v>
      </c>
      <c r="H384" s="94">
        <f>E384*57</f>
        <v>20665.920000000002</v>
      </c>
      <c r="I384" s="94"/>
      <c r="J384" s="94"/>
      <c r="K384" s="94"/>
      <c r="L384" s="129"/>
      <c r="M384" s="129"/>
      <c r="N384" s="129"/>
      <c r="O384" s="129"/>
      <c r="P384" s="106">
        <v>373753.59999999998</v>
      </c>
      <c r="Q384" s="73"/>
      <c r="R384" s="74"/>
      <c r="S384" s="47"/>
    </row>
    <row r="385" spans="1:19" s="2" customFormat="1" ht="39.75" customHeight="1" x14ac:dyDescent="0.25">
      <c r="A385" s="18"/>
      <c r="B385" s="122"/>
      <c r="C385" s="132" t="s">
        <v>44</v>
      </c>
      <c r="D385" s="100" t="s">
        <v>81</v>
      </c>
      <c r="E385" s="89">
        <f>SUM(E383:E384)</f>
        <v>54146.295999999995</v>
      </c>
      <c r="F385" s="89"/>
      <c r="G385" s="87">
        <f t="shared" ref="G385:P385" si="109">SUM(G383:G384)</f>
        <v>177424.71012</v>
      </c>
      <c r="H385" s="87">
        <f t="shared" si="109"/>
        <v>1322921.956</v>
      </c>
      <c r="I385" s="87"/>
      <c r="J385" s="87"/>
      <c r="K385" s="87"/>
      <c r="L385" s="87"/>
      <c r="M385" s="87"/>
      <c r="N385" s="87"/>
      <c r="O385" s="87"/>
      <c r="P385" s="87">
        <f t="shared" si="109"/>
        <v>633223.82999999996</v>
      </c>
      <c r="Q385" s="76"/>
      <c r="R385" s="77"/>
      <c r="S385" s="50"/>
    </row>
    <row r="386" spans="1:19" s="2" customFormat="1" ht="28.5" customHeight="1" x14ac:dyDescent="0.25">
      <c r="A386" s="20"/>
      <c r="B386" s="129"/>
      <c r="C386" s="131" t="s">
        <v>44</v>
      </c>
      <c r="D386" s="99" t="s">
        <v>84</v>
      </c>
      <c r="E386" s="93">
        <v>1197.8800000000001</v>
      </c>
      <c r="F386" s="94">
        <v>3.45</v>
      </c>
      <c r="G386" s="94">
        <f>E386*F386</f>
        <v>4132.6860000000006</v>
      </c>
      <c r="H386" s="94">
        <f>E386*57</f>
        <v>68279.16</v>
      </c>
      <c r="I386" s="94"/>
      <c r="J386" s="94"/>
      <c r="K386" s="94"/>
      <c r="L386" s="94"/>
      <c r="M386" s="94"/>
      <c r="N386" s="94"/>
      <c r="O386" s="94"/>
      <c r="P386" s="94">
        <v>0</v>
      </c>
      <c r="Q386" s="73"/>
      <c r="R386" s="74"/>
      <c r="S386" s="47"/>
    </row>
    <row r="387" spans="1:19" s="2" customFormat="1" ht="39.75" customHeight="1" x14ac:dyDescent="0.25">
      <c r="A387" s="18"/>
      <c r="B387" s="122"/>
      <c r="C387" s="132" t="s">
        <v>44</v>
      </c>
      <c r="D387" s="100" t="s">
        <v>86</v>
      </c>
      <c r="E387" s="89">
        <f>SUM(E385:E386)</f>
        <v>55344.175999999992</v>
      </c>
      <c r="F387" s="89"/>
      <c r="G387" s="87">
        <f t="shared" ref="G387:P387" si="110">SUM(G385:G386)</f>
        <v>181557.39611999999</v>
      </c>
      <c r="H387" s="87">
        <f t="shared" si="110"/>
        <v>1391201.1159999999</v>
      </c>
      <c r="I387" s="87"/>
      <c r="J387" s="87"/>
      <c r="K387" s="87"/>
      <c r="L387" s="87"/>
      <c r="M387" s="87"/>
      <c r="N387" s="87"/>
      <c r="O387" s="87"/>
      <c r="P387" s="87">
        <f t="shared" si="110"/>
        <v>633223.82999999996</v>
      </c>
      <c r="Q387" s="76"/>
      <c r="R387" s="77"/>
      <c r="S387" s="50"/>
    </row>
    <row r="388" spans="1:19" s="2" customFormat="1" ht="39.75" customHeight="1" x14ac:dyDescent="0.25">
      <c r="A388" s="20"/>
      <c r="B388" s="129"/>
      <c r="C388" s="131" t="s">
        <v>44</v>
      </c>
      <c r="D388" s="99" t="s">
        <v>89</v>
      </c>
      <c r="E388" s="93">
        <v>1922.82</v>
      </c>
      <c r="F388" s="94">
        <v>3.45</v>
      </c>
      <c r="G388" s="94">
        <f>E388*F388</f>
        <v>6633.7290000000003</v>
      </c>
      <c r="H388" s="94">
        <f>E388*57</f>
        <v>109600.73999999999</v>
      </c>
      <c r="I388" s="94"/>
      <c r="J388" s="94"/>
      <c r="K388" s="94"/>
      <c r="L388" s="94"/>
      <c r="M388" s="94"/>
      <c r="N388" s="94"/>
      <c r="O388" s="94"/>
      <c r="P388" s="94">
        <v>120528</v>
      </c>
      <c r="Q388" s="73"/>
      <c r="R388" s="74"/>
      <c r="S388" s="47"/>
    </row>
    <row r="389" spans="1:19" s="2" customFormat="1" ht="39.75" customHeight="1" x14ac:dyDescent="0.25">
      <c r="A389" s="20"/>
      <c r="B389" s="129"/>
      <c r="C389" s="131" t="s">
        <v>46</v>
      </c>
      <c r="D389" s="99"/>
      <c r="E389" s="93" t="s">
        <v>92</v>
      </c>
      <c r="F389" s="93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73"/>
      <c r="R389" s="74"/>
      <c r="S389" s="47"/>
    </row>
    <row r="390" spans="1:19" s="2" customFormat="1" ht="39.75" customHeight="1" x14ac:dyDescent="0.25">
      <c r="A390" s="18"/>
      <c r="B390" s="122"/>
      <c r="C390" s="132" t="s">
        <v>44</v>
      </c>
      <c r="D390" s="100" t="s">
        <v>90</v>
      </c>
      <c r="E390" s="89">
        <v>57270.565999999999</v>
      </c>
      <c r="F390" s="89"/>
      <c r="G390" s="87">
        <f t="shared" ref="G390:P390" si="111">SUM(G387:G389)</f>
        <v>188191.12511999998</v>
      </c>
      <c r="H390" s="87">
        <f t="shared" si="111"/>
        <v>1500801.8559999999</v>
      </c>
      <c r="I390" s="87"/>
      <c r="J390" s="87"/>
      <c r="K390" s="87"/>
      <c r="L390" s="87"/>
      <c r="M390" s="87"/>
      <c r="N390" s="87"/>
      <c r="O390" s="87"/>
      <c r="P390" s="87">
        <f t="shared" si="111"/>
        <v>753751.83</v>
      </c>
      <c r="Q390" s="76"/>
      <c r="R390" s="77"/>
      <c r="S390" s="50"/>
    </row>
    <row r="391" spans="1:19" s="2" customFormat="1" ht="31.5" customHeight="1" x14ac:dyDescent="0.25">
      <c r="A391" s="20"/>
      <c r="B391" s="129"/>
      <c r="C391" s="131" t="s">
        <v>44</v>
      </c>
      <c r="D391" s="99" t="s">
        <v>95</v>
      </c>
      <c r="E391" s="93">
        <v>1700.82</v>
      </c>
      <c r="F391" s="94">
        <v>3.45</v>
      </c>
      <c r="G391" s="94">
        <f>E391*F391</f>
        <v>5867.8289999999997</v>
      </c>
      <c r="H391" s="94">
        <f>E391*57</f>
        <v>96946.739999999991</v>
      </c>
      <c r="I391" s="94"/>
      <c r="J391" s="94"/>
      <c r="K391" s="94"/>
      <c r="L391" s="94"/>
      <c r="M391" s="94"/>
      <c r="N391" s="94"/>
      <c r="O391" s="94"/>
      <c r="P391" s="94">
        <v>0</v>
      </c>
      <c r="Q391" s="73"/>
      <c r="R391" s="74"/>
      <c r="S391" s="47"/>
    </row>
    <row r="392" spans="1:19" s="2" customFormat="1" ht="39.75" customHeight="1" x14ac:dyDescent="0.25">
      <c r="A392" s="18"/>
      <c r="B392" s="122"/>
      <c r="C392" s="132" t="s">
        <v>44</v>
      </c>
      <c r="D392" s="100" t="s">
        <v>94</v>
      </c>
      <c r="E392" s="89">
        <f>SUM(E390:E391)</f>
        <v>58971.385999999999</v>
      </c>
      <c r="F392" s="89"/>
      <c r="G392" s="87">
        <f t="shared" ref="G392:H392" si="112">SUM(G390:G391)</f>
        <v>194058.95411999998</v>
      </c>
      <c r="H392" s="87">
        <f t="shared" si="112"/>
        <v>1597748.5959999999</v>
      </c>
      <c r="I392" s="87"/>
      <c r="J392" s="87"/>
      <c r="K392" s="87"/>
      <c r="L392" s="87"/>
      <c r="M392" s="87"/>
      <c r="N392" s="87"/>
      <c r="O392" s="87"/>
      <c r="P392" s="87">
        <v>753751.83</v>
      </c>
      <c r="Q392" s="76"/>
      <c r="R392" s="77"/>
      <c r="S392" s="50"/>
    </row>
    <row r="393" spans="1:19" s="2" customFormat="1" ht="89.25" customHeight="1" x14ac:dyDescent="0.25">
      <c r="A393" s="20"/>
      <c r="B393" s="129"/>
      <c r="C393" s="131" t="s">
        <v>44</v>
      </c>
      <c r="D393" s="99" t="s">
        <v>98</v>
      </c>
      <c r="E393" s="93">
        <v>1589.32</v>
      </c>
      <c r="F393" s="94">
        <v>5.6</v>
      </c>
      <c r="G393" s="94">
        <f>E393*F393</f>
        <v>8900.1919999999991</v>
      </c>
      <c r="H393" s="94">
        <v>145570.64000000001</v>
      </c>
      <c r="I393" s="94"/>
      <c r="J393" s="94"/>
      <c r="K393" s="94"/>
      <c r="L393" s="94"/>
      <c r="M393" s="94"/>
      <c r="N393" s="94"/>
      <c r="O393" s="94"/>
      <c r="P393" s="220" t="s">
        <v>113</v>
      </c>
      <c r="Q393" s="73"/>
      <c r="R393" s="74"/>
      <c r="S393" s="217" t="s">
        <v>103</v>
      </c>
    </row>
    <row r="394" spans="1:19" s="2" customFormat="1" ht="39.75" customHeight="1" x14ac:dyDescent="0.25">
      <c r="A394" s="18"/>
      <c r="B394" s="122"/>
      <c r="C394" s="132" t="s">
        <v>44</v>
      </c>
      <c r="D394" s="100" t="s">
        <v>97</v>
      </c>
      <c r="E394" s="89">
        <f>SUM(E392:E393)</f>
        <v>60560.705999999998</v>
      </c>
      <c r="F394" s="89"/>
      <c r="G394" s="87">
        <f t="shared" ref="G394:H394" si="113">SUM(G392:G393)</f>
        <v>202959.14611999999</v>
      </c>
      <c r="H394" s="87">
        <f t="shared" si="113"/>
        <v>1743319.236</v>
      </c>
      <c r="I394" s="87"/>
      <c r="J394" s="87"/>
      <c r="K394" s="87"/>
      <c r="L394" s="87"/>
      <c r="M394" s="87"/>
      <c r="N394" s="87"/>
      <c r="O394" s="87"/>
      <c r="P394" s="221" t="s">
        <v>112</v>
      </c>
      <c r="Q394" s="76"/>
      <c r="R394" s="77"/>
      <c r="S394" s="50"/>
    </row>
    <row r="395" spans="1:19" s="2" customFormat="1" ht="39.75" customHeight="1" x14ac:dyDescent="0.25">
      <c r="A395" s="20"/>
      <c r="B395" s="129"/>
      <c r="C395" s="131" t="s">
        <v>44</v>
      </c>
      <c r="D395" s="99" t="s">
        <v>119</v>
      </c>
      <c r="E395" s="93">
        <v>1778.61</v>
      </c>
      <c r="F395" s="94">
        <v>5.6</v>
      </c>
      <c r="G395" s="94">
        <f>E395*F395</f>
        <v>9960.2159999999985</v>
      </c>
      <c r="H395" s="94">
        <f>E395*69</f>
        <v>122724.09</v>
      </c>
      <c r="I395" s="94"/>
      <c r="J395" s="94"/>
      <c r="K395" s="94"/>
      <c r="L395" s="94"/>
      <c r="M395" s="94"/>
      <c r="N395" s="94"/>
      <c r="O395" s="94"/>
      <c r="P395" s="220" t="s">
        <v>123</v>
      </c>
      <c r="Q395" s="73"/>
      <c r="R395" s="74"/>
      <c r="S395" s="47"/>
    </row>
    <row r="396" spans="1:19" s="2" customFormat="1" ht="39.75" customHeight="1" x14ac:dyDescent="0.25">
      <c r="A396" s="18"/>
      <c r="B396" s="122"/>
      <c r="C396" s="132" t="s">
        <v>44</v>
      </c>
      <c r="D396" s="100" t="s">
        <v>120</v>
      </c>
      <c r="E396" s="89">
        <f>SUM(E394:E395)</f>
        <v>62339.315999999999</v>
      </c>
      <c r="F396" s="89"/>
      <c r="G396" s="87">
        <f t="shared" ref="G396:H396" si="114">SUM(G394:G395)</f>
        <v>212919.36211999998</v>
      </c>
      <c r="H396" s="87">
        <f t="shared" si="114"/>
        <v>1866043.3260000001</v>
      </c>
      <c r="I396" s="87"/>
      <c r="J396" s="87"/>
      <c r="K396" s="87"/>
      <c r="L396" s="87"/>
      <c r="M396" s="87"/>
      <c r="N396" s="87"/>
      <c r="O396" s="87"/>
      <c r="P396" s="221" t="s">
        <v>141</v>
      </c>
      <c r="Q396" s="76"/>
      <c r="R396" s="77"/>
      <c r="S396" s="50"/>
    </row>
    <row r="397" spans="1:19" s="2" customFormat="1" ht="39.75" customHeight="1" x14ac:dyDescent="0.25">
      <c r="A397" s="20"/>
      <c r="B397" s="129"/>
      <c r="C397" s="131" t="s">
        <v>44</v>
      </c>
      <c r="D397" s="99" t="s">
        <v>139</v>
      </c>
      <c r="E397" s="93">
        <v>1992.83</v>
      </c>
      <c r="F397" s="94">
        <v>5.6</v>
      </c>
      <c r="G397" s="94">
        <f>SUM(E397*F397)</f>
        <v>11159.847999999998</v>
      </c>
      <c r="H397" s="94">
        <f>SUM(E397*69)</f>
        <v>137505.26999999999</v>
      </c>
      <c r="I397" s="94"/>
      <c r="J397" s="94"/>
      <c r="K397" s="94"/>
      <c r="L397" s="94"/>
      <c r="M397" s="94"/>
      <c r="N397" s="94"/>
      <c r="O397" s="94"/>
      <c r="P397" s="220" t="s">
        <v>158</v>
      </c>
      <c r="Q397" s="73"/>
      <c r="R397" s="74"/>
      <c r="S397" s="47"/>
    </row>
    <row r="398" spans="1:19" s="2" customFormat="1" ht="39.75" customHeight="1" x14ac:dyDescent="0.25">
      <c r="A398" s="18"/>
      <c r="B398" s="122"/>
      <c r="C398" s="132" t="s">
        <v>44</v>
      </c>
      <c r="D398" s="100" t="s">
        <v>140</v>
      </c>
      <c r="E398" s="89">
        <f>SUM(E396:E397)</f>
        <v>64332.146000000001</v>
      </c>
      <c r="F398" s="89"/>
      <c r="G398" s="87">
        <f t="shared" ref="G398:H398" si="115">SUM(G396:G397)</f>
        <v>224079.21011999997</v>
      </c>
      <c r="H398" s="87">
        <f t="shared" si="115"/>
        <v>2003548.5960000001</v>
      </c>
      <c r="I398" s="87"/>
      <c r="J398" s="87"/>
      <c r="K398" s="87"/>
      <c r="L398" s="87"/>
      <c r="M398" s="87"/>
      <c r="N398" s="87"/>
      <c r="O398" s="87"/>
      <c r="P398" s="221" t="s">
        <v>142</v>
      </c>
      <c r="Q398" s="76"/>
      <c r="R398" s="77"/>
      <c r="S398" s="50"/>
    </row>
    <row r="399" spans="1:19" s="2" customFormat="1" ht="39.75" customHeight="1" x14ac:dyDescent="0.25">
      <c r="A399" s="20"/>
      <c r="B399" s="129"/>
      <c r="C399" s="131" t="s">
        <v>44</v>
      </c>
      <c r="D399" s="99" t="s">
        <v>144</v>
      </c>
      <c r="E399" s="93">
        <v>1759.07</v>
      </c>
      <c r="F399" s="94">
        <v>5.6</v>
      </c>
      <c r="G399" s="94">
        <v>9850.7919999999995</v>
      </c>
      <c r="H399" s="94">
        <v>121375.83</v>
      </c>
      <c r="I399" s="94"/>
      <c r="J399" s="94"/>
      <c r="K399" s="94"/>
      <c r="L399" s="94"/>
      <c r="M399" s="94"/>
      <c r="N399" s="94"/>
      <c r="O399" s="94"/>
      <c r="P399" s="220" t="s">
        <v>161</v>
      </c>
      <c r="Q399" s="73"/>
      <c r="R399" s="74"/>
      <c r="S399" s="47"/>
    </row>
    <row r="400" spans="1:19" s="2" customFormat="1" ht="39.75" customHeight="1" x14ac:dyDescent="0.25">
      <c r="A400" s="18"/>
      <c r="B400" s="122"/>
      <c r="C400" s="132" t="s">
        <v>44</v>
      </c>
      <c r="D400" s="100" t="s">
        <v>145</v>
      </c>
      <c r="E400" s="89">
        <f>SUM(E398:E399)</f>
        <v>66091.216</v>
      </c>
      <c r="F400" s="89"/>
      <c r="G400" s="87">
        <f t="shared" ref="G400:H400" si="116">SUM(G398:G399)</f>
        <v>233930.00211999996</v>
      </c>
      <c r="H400" s="87">
        <f t="shared" si="116"/>
        <v>2124924.426</v>
      </c>
      <c r="I400" s="87"/>
      <c r="J400" s="87"/>
      <c r="K400" s="87"/>
      <c r="L400" s="87"/>
      <c r="M400" s="87"/>
      <c r="N400" s="87"/>
      <c r="O400" s="87"/>
      <c r="P400" s="221" t="s">
        <v>162</v>
      </c>
      <c r="Q400" s="76"/>
      <c r="R400" s="77"/>
      <c r="S400" s="50"/>
    </row>
    <row r="401" spans="1:19" s="2" customFormat="1" ht="39.75" customHeight="1" x14ac:dyDescent="0.25">
      <c r="A401" s="20"/>
      <c r="B401" s="129"/>
      <c r="C401" s="131" t="s">
        <v>44</v>
      </c>
      <c r="D401" s="99" t="s">
        <v>169</v>
      </c>
      <c r="E401" s="93">
        <v>1492.62</v>
      </c>
      <c r="F401" s="94">
        <v>5.6</v>
      </c>
      <c r="G401" s="94">
        <f>E401*F401</f>
        <v>8358.6719999999987</v>
      </c>
      <c r="H401" s="94">
        <f>E401*82</f>
        <v>122394.84</v>
      </c>
      <c r="I401" s="94"/>
      <c r="J401" s="94"/>
      <c r="K401" s="94"/>
      <c r="L401" s="94"/>
      <c r="M401" s="94"/>
      <c r="N401" s="94"/>
      <c r="O401" s="94"/>
      <c r="P401" s="220" t="s">
        <v>178</v>
      </c>
      <c r="Q401" s="73"/>
      <c r="R401" s="74"/>
      <c r="S401" s="47"/>
    </row>
    <row r="402" spans="1:19" s="2" customFormat="1" ht="39.75" customHeight="1" x14ac:dyDescent="0.25">
      <c r="A402" s="18"/>
      <c r="B402" s="122"/>
      <c r="C402" s="132" t="s">
        <v>44</v>
      </c>
      <c r="D402" s="100" t="s">
        <v>167</v>
      </c>
      <c r="E402" s="89">
        <f>SUM(E400:E401)</f>
        <v>67583.835999999996</v>
      </c>
      <c r="F402" s="89"/>
      <c r="G402" s="87">
        <f t="shared" ref="G402:H402" si="117">SUM(G400:G401)</f>
        <v>242288.67411999995</v>
      </c>
      <c r="H402" s="87">
        <f t="shared" si="117"/>
        <v>2247319.2659999998</v>
      </c>
      <c r="I402" s="87"/>
      <c r="J402" s="87"/>
      <c r="K402" s="87"/>
      <c r="L402" s="87"/>
      <c r="M402" s="87"/>
      <c r="N402" s="87"/>
      <c r="O402" s="87"/>
      <c r="P402" s="221" t="s">
        <v>179</v>
      </c>
      <c r="Q402" s="76"/>
      <c r="R402" s="77"/>
      <c r="S402" s="50"/>
    </row>
    <row r="403" spans="1:19" s="2" customFormat="1" ht="39.75" customHeight="1" x14ac:dyDescent="0.25">
      <c r="A403" s="20"/>
      <c r="B403" s="129"/>
      <c r="C403" s="131" t="s">
        <v>44</v>
      </c>
      <c r="D403" s="99" t="s">
        <v>166</v>
      </c>
      <c r="E403" s="93">
        <v>1894.44</v>
      </c>
      <c r="F403" s="94">
        <v>5.6</v>
      </c>
      <c r="G403" s="94">
        <f>638.96*5.6</f>
        <v>3578.1759999999999</v>
      </c>
      <c r="H403" s="94">
        <f>638.96*82</f>
        <v>52394.720000000001</v>
      </c>
      <c r="I403" s="94">
        <f>1255.48*5.6</f>
        <v>7030.6880000000001</v>
      </c>
      <c r="J403" s="94">
        <f>1255.48*82</f>
        <v>102949.36</v>
      </c>
      <c r="K403" s="94"/>
      <c r="L403" s="94"/>
      <c r="M403" s="94"/>
      <c r="N403" s="94"/>
      <c r="O403" s="94"/>
      <c r="P403" s="220">
        <v>0</v>
      </c>
      <c r="Q403" s="73"/>
      <c r="R403" s="74"/>
      <c r="S403" s="47"/>
    </row>
    <row r="404" spans="1:19" s="2" customFormat="1" ht="39.75" customHeight="1" x14ac:dyDescent="0.25">
      <c r="A404" s="18"/>
      <c r="B404" s="122"/>
      <c r="C404" s="132" t="s">
        <v>44</v>
      </c>
      <c r="D404" s="100" t="s">
        <v>168</v>
      </c>
      <c r="E404" s="89">
        <f>SUM(E402:E403)</f>
        <v>69478.275999999998</v>
      </c>
      <c r="F404" s="89"/>
      <c r="G404" s="87">
        <f t="shared" ref="G404:J404" si="118">SUM(G402:G403)</f>
        <v>245866.85011999996</v>
      </c>
      <c r="H404" s="87">
        <f t="shared" si="118"/>
        <v>2299713.986</v>
      </c>
      <c r="I404" s="87">
        <f t="shared" si="118"/>
        <v>7030.6880000000001</v>
      </c>
      <c r="J404" s="87">
        <f t="shared" si="118"/>
        <v>102949.36</v>
      </c>
      <c r="K404" s="87"/>
      <c r="L404" s="87"/>
      <c r="M404" s="87"/>
      <c r="N404" s="87"/>
      <c r="O404" s="87"/>
      <c r="P404" s="221" t="s">
        <v>179</v>
      </c>
      <c r="Q404" s="76"/>
      <c r="R404" s="77"/>
      <c r="S404" s="50"/>
    </row>
    <row r="405" spans="1:19" s="236" customFormat="1" ht="39.75" customHeight="1" x14ac:dyDescent="0.25">
      <c r="A405" s="230"/>
      <c r="B405" s="237"/>
      <c r="C405" s="131" t="s">
        <v>44</v>
      </c>
      <c r="D405" s="99" t="s">
        <v>195</v>
      </c>
      <c r="E405" s="231">
        <v>1850.44</v>
      </c>
      <c r="F405" s="94">
        <v>5.6</v>
      </c>
      <c r="G405" s="94">
        <f>1255.48*5.6</f>
        <v>7030.6880000000001</v>
      </c>
      <c r="H405" s="94">
        <f>1255.48*82</f>
        <v>102949.36</v>
      </c>
      <c r="I405" s="232">
        <f>E405*5.6</f>
        <v>10362.464</v>
      </c>
      <c r="J405" s="232">
        <f>E405*82</f>
        <v>151736.08000000002</v>
      </c>
      <c r="K405" s="232"/>
      <c r="L405" s="232"/>
      <c r="M405" s="232"/>
      <c r="N405" s="232"/>
      <c r="O405" s="232"/>
      <c r="P405" s="220">
        <v>0</v>
      </c>
      <c r="Q405" s="247"/>
      <c r="R405" s="248"/>
      <c r="S405" s="235"/>
    </row>
    <row r="406" spans="1:19" s="2" customFormat="1" ht="39.75" customHeight="1" x14ac:dyDescent="0.25">
      <c r="A406" s="18"/>
      <c r="B406" s="122"/>
      <c r="C406" s="132" t="s">
        <v>44</v>
      </c>
      <c r="D406" s="100" t="s">
        <v>196</v>
      </c>
      <c r="E406" s="89">
        <f>SUM(E404:E405)</f>
        <v>71328.716</v>
      </c>
      <c r="F406" s="89"/>
      <c r="G406" s="87">
        <f>SUM(G404:G405)</f>
        <v>252897.53811999995</v>
      </c>
      <c r="H406" s="87">
        <f>SUM(H404:H405)</f>
        <v>2402663.3459999999</v>
      </c>
      <c r="I406" s="87">
        <v>10362.459999999999</v>
      </c>
      <c r="J406" s="87">
        <v>151736.07999999999</v>
      </c>
      <c r="K406" s="87"/>
      <c r="L406" s="87"/>
      <c r="M406" s="87"/>
      <c r="N406" s="87"/>
      <c r="O406" s="87"/>
      <c r="P406" s="221" t="s">
        <v>179</v>
      </c>
      <c r="Q406" s="76"/>
      <c r="R406" s="77"/>
      <c r="S406" s="50"/>
    </row>
    <row r="407" spans="1:19" s="236" customFormat="1" ht="39.75" customHeight="1" x14ac:dyDescent="0.25">
      <c r="A407" s="230"/>
      <c r="B407" s="237"/>
      <c r="C407" s="131" t="s">
        <v>44</v>
      </c>
      <c r="D407" s="99" t="s">
        <v>201</v>
      </c>
      <c r="E407" s="231">
        <v>1666.71</v>
      </c>
      <c r="F407" s="94">
        <v>5.6</v>
      </c>
      <c r="G407" s="232">
        <f>2425.96*5.6</f>
        <v>13585.376</v>
      </c>
      <c r="H407" s="232">
        <f>2425.96*82</f>
        <v>198928.72</v>
      </c>
      <c r="I407" s="232">
        <f>1091.19*5.6</f>
        <v>6110.6639999999998</v>
      </c>
      <c r="J407" s="232">
        <f>1091.19*82</f>
        <v>89477.58</v>
      </c>
      <c r="K407" s="232"/>
      <c r="L407" s="232"/>
      <c r="M407" s="232"/>
      <c r="N407" s="232"/>
      <c r="O407" s="232"/>
      <c r="P407" s="220">
        <v>0</v>
      </c>
      <c r="Q407" s="247"/>
      <c r="R407" s="248"/>
      <c r="S407" s="235"/>
    </row>
    <row r="408" spans="1:19" s="2" customFormat="1" ht="39.75" customHeight="1" x14ac:dyDescent="0.25">
      <c r="A408" s="18"/>
      <c r="B408" s="122"/>
      <c r="C408" s="132" t="s">
        <v>44</v>
      </c>
      <c r="D408" s="100" t="s">
        <v>202</v>
      </c>
      <c r="E408" s="89">
        <f>SUM(E406:E407)</f>
        <v>72995.426000000007</v>
      </c>
      <c r="F408" s="89"/>
      <c r="G408" s="87">
        <f>SUM(G406:G407)</f>
        <v>266482.91411999997</v>
      </c>
      <c r="H408" s="87">
        <f>SUM(H406:H407)</f>
        <v>2601592.0660000001</v>
      </c>
      <c r="I408" s="87">
        <v>6110.66</v>
      </c>
      <c r="J408" s="87">
        <v>89477.58</v>
      </c>
      <c r="K408" s="87"/>
      <c r="L408" s="87"/>
      <c r="M408" s="87"/>
      <c r="N408" s="87"/>
      <c r="O408" s="87"/>
      <c r="P408" s="221" t="s">
        <v>179</v>
      </c>
      <c r="Q408" s="76"/>
      <c r="R408" s="77"/>
      <c r="S408" s="50"/>
    </row>
    <row r="409" spans="1:19" s="236" customFormat="1" ht="39.75" customHeight="1" x14ac:dyDescent="0.25">
      <c r="A409" s="230"/>
      <c r="B409" s="237"/>
      <c r="C409" s="131" t="s">
        <v>44</v>
      </c>
      <c r="D409" s="99" t="s">
        <v>208</v>
      </c>
      <c r="E409" s="231">
        <v>1420.88</v>
      </c>
      <c r="F409" s="94">
        <v>5.6</v>
      </c>
      <c r="G409" s="232"/>
      <c r="H409" s="232"/>
      <c r="I409" s="232">
        <f>1420.88*5.6</f>
        <v>7956.9279999999999</v>
      </c>
      <c r="J409" s="232">
        <f>1420.88*95</f>
        <v>134983.6</v>
      </c>
      <c r="K409" s="232"/>
      <c r="L409" s="232"/>
      <c r="M409" s="232"/>
      <c r="N409" s="232"/>
      <c r="O409" s="232"/>
      <c r="P409" s="233"/>
      <c r="Q409" s="247"/>
      <c r="R409" s="248"/>
      <c r="S409" s="235"/>
    </row>
    <row r="410" spans="1:19" s="2" customFormat="1" ht="39.75" customHeight="1" x14ac:dyDescent="0.25">
      <c r="A410" s="18"/>
      <c r="B410" s="122"/>
      <c r="C410" s="132" t="s">
        <v>44</v>
      </c>
      <c r="D410" s="100" t="s">
        <v>209</v>
      </c>
      <c r="E410" s="89">
        <f>SUM(E408:E409)</f>
        <v>74416.306000000011</v>
      </c>
      <c r="F410" s="89"/>
      <c r="G410" s="87">
        <f>SUM(G408:G409)</f>
        <v>266482.91411999997</v>
      </c>
      <c r="H410" s="87">
        <f>SUM(H408:H409)</f>
        <v>2601592.0660000001</v>
      </c>
      <c r="I410" s="87">
        <f>SUM(I408:I409)</f>
        <v>14067.588</v>
      </c>
      <c r="J410" s="87">
        <f>SUM(J408:J409)</f>
        <v>224461.18</v>
      </c>
      <c r="K410" s="87"/>
      <c r="L410" s="87"/>
      <c r="M410" s="87"/>
      <c r="N410" s="87"/>
      <c r="O410" s="87"/>
      <c r="P410" s="221" t="s">
        <v>212</v>
      </c>
      <c r="Q410" s="76"/>
      <c r="R410" s="77"/>
      <c r="S410" s="50"/>
    </row>
    <row r="411" spans="1:19" s="236" customFormat="1" ht="39.75" customHeight="1" x14ac:dyDescent="0.25">
      <c r="A411" s="230"/>
      <c r="B411" s="237"/>
      <c r="C411" s="131" t="s">
        <v>44</v>
      </c>
      <c r="D411" s="99" t="s">
        <v>215</v>
      </c>
      <c r="E411" s="231">
        <v>1850.88</v>
      </c>
      <c r="F411" s="94">
        <v>5.6</v>
      </c>
      <c r="G411" s="232">
        <f>1979.69*5.6</f>
        <v>11086.263999999999</v>
      </c>
      <c r="H411" s="232">
        <f>89477.58+888.5*95</f>
        <v>173885.08000000002</v>
      </c>
      <c r="I411" s="232">
        <f>2383.26*5.6</f>
        <v>13346.256000000001</v>
      </c>
      <c r="J411" s="232">
        <f>2383.26*95</f>
        <v>226409.7</v>
      </c>
      <c r="K411" s="232"/>
      <c r="L411" s="232"/>
      <c r="M411" s="232"/>
      <c r="N411" s="232"/>
      <c r="O411" s="232"/>
      <c r="P411" s="233"/>
      <c r="Q411" s="247"/>
      <c r="R411" s="248"/>
      <c r="S411" s="235"/>
    </row>
    <row r="412" spans="1:19" s="2" customFormat="1" ht="39.75" customHeight="1" x14ac:dyDescent="0.25">
      <c r="A412" s="18"/>
      <c r="B412" s="122"/>
      <c r="C412" s="132" t="s">
        <v>44</v>
      </c>
      <c r="D412" s="100" t="s">
        <v>216</v>
      </c>
      <c r="E412" s="89">
        <f>SUM(E410:E411)</f>
        <v>76267.186000000016</v>
      </c>
      <c r="F412" s="89"/>
      <c r="G412" s="87">
        <f>SUM(G410:G411)</f>
        <v>277569.17812</v>
      </c>
      <c r="H412" s="87">
        <f>SUM(H410:H411)</f>
        <v>2775477.1460000002</v>
      </c>
      <c r="I412" s="87">
        <v>13346.26</v>
      </c>
      <c r="J412" s="87">
        <v>226409.7</v>
      </c>
      <c r="K412" s="87"/>
      <c r="L412" s="87"/>
      <c r="M412" s="87"/>
      <c r="N412" s="87"/>
      <c r="O412" s="87"/>
      <c r="P412" s="221" t="s">
        <v>212</v>
      </c>
      <c r="Q412" s="76"/>
      <c r="R412" s="77"/>
      <c r="S412" s="50"/>
    </row>
    <row r="413" spans="1:19" s="2" customFormat="1" ht="39.75" customHeight="1" x14ac:dyDescent="0.25">
      <c r="A413" s="20"/>
      <c r="B413" s="129"/>
      <c r="C413" s="131" t="s">
        <v>229</v>
      </c>
      <c r="D413" s="99" t="s">
        <v>218</v>
      </c>
      <c r="E413" s="93">
        <v>1892.05</v>
      </c>
      <c r="F413" s="94">
        <v>5.6</v>
      </c>
      <c r="G413" s="94">
        <v>13346.26</v>
      </c>
      <c r="H413" s="94">
        <v>226409.7</v>
      </c>
      <c r="I413" s="94">
        <f>1892.05*5.6</f>
        <v>10595.48</v>
      </c>
      <c r="J413" s="94">
        <f>1892.05*95</f>
        <v>179744.75</v>
      </c>
      <c r="K413" s="94"/>
      <c r="L413" s="94"/>
      <c r="M413" s="94"/>
      <c r="N413" s="94"/>
      <c r="O413" s="94"/>
      <c r="P413" s="220"/>
      <c r="Q413" s="73"/>
      <c r="R413" s="74"/>
      <c r="S413" s="47"/>
    </row>
    <row r="414" spans="1:19" s="2" customFormat="1" ht="39.75" customHeight="1" x14ac:dyDescent="0.25">
      <c r="A414" s="18"/>
      <c r="B414" s="122"/>
      <c r="C414" s="132" t="s">
        <v>44</v>
      </c>
      <c r="D414" s="100" t="s">
        <v>219</v>
      </c>
      <c r="E414" s="89">
        <f>SUM(E412:E413)</f>
        <v>78159.236000000019</v>
      </c>
      <c r="F414" s="89"/>
      <c r="G414" s="87">
        <f>SUM(G412:G413)</f>
        <v>290915.43812000001</v>
      </c>
      <c r="H414" s="87">
        <f>SUM(H412:H413)</f>
        <v>3001886.8460000004</v>
      </c>
      <c r="I414" s="87">
        <v>10595.48</v>
      </c>
      <c r="J414" s="87">
        <v>179744.75</v>
      </c>
      <c r="K414" s="87"/>
      <c r="L414" s="87"/>
      <c r="M414" s="87"/>
      <c r="N414" s="87"/>
      <c r="O414" s="87"/>
      <c r="P414" s="221" t="s">
        <v>212</v>
      </c>
      <c r="Q414" s="76"/>
      <c r="R414" s="77"/>
      <c r="S414" s="50"/>
    </row>
    <row r="415" spans="1:19" s="236" customFormat="1" ht="39.75" customHeight="1" x14ac:dyDescent="0.25">
      <c r="A415" s="230"/>
      <c r="B415" s="237"/>
      <c r="C415" s="131" t="s">
        <v>44</v>
      </c>
      <c r="D415" s="99" t="s">
        <v>227</v>
      </c>
      <c r="E415" s="231">
        <v>1652.7</v>
      </c>
      <c r="F415" s="94">
        <v>5.6</v>
      </c>
      <c r="G415" s="232">
        <f>1233.72*5.6</f>
        <v>6908.8319999999994</v>
      </c>
      <c r="H415" s="232">
        <f>1233.72*95</f>
        <v>117203.40000000001</v>
      </c>
      <c r="I415" s="232">
        <f>(658.33+1652.7)*5.6</f>
        <v>12941.768</v>
      </c>
      <c r="J415" s="232">
        <f>(658.33+1652.7)*95</f>
        <v>219547.85</v>
      </c>
      <c r="K415" s="232"/>
      <c r="L415" s="232"/>
      <c r="M415" s="232"/>
      <c r="N415" s="232"/>
      <c r="O415" s="232"/>
      <c r="P415" s="233" t="s">
        <v>231</v>
      </c>
      <c r="Q415" s="247"/>
      <c r="R415" s="248"/>
      <c r="S415" s="235"/>
    </row>
    <row r="416" spans="1:19" s="2" customFormat="1" ht="39.75" customHeight="1" x14ac:dyDescent="0.25">
      <c r="A416" s="18"/>
      <c r="B416" s="122"/>
      <c r="C416" s="132" t="s">
        <v>44</v>
      </c>
      <c r="D416" s="100" t="s">
        <v>228</v>
      </c>
      <c r="E416" s="89">
        <f>SUM(E414:E415)</f>
        <v>79811.936000000016</v>
      </c>
      <c r="F416" s="89"/>
      <c r="G416" s="87">
        <f>SUM(G414:G415)</f>
        <v>297824.27012</v>
      </c>
      <c r="H416" s="87">
        <f>SUM(H414:H415)</f>
        <v>3119090.2460000003</v>
      </c>
      <c r="I416" s="87">
        <v>12941.77</v>
      </c>
      <c r="J416" s="87">
        <v>219547.85</v>
      </c>
      <c r="K416" s="87"/>
      <c r="L416" s="87"/>
      <c r="M416" s="87"/>
      <c r="N416" s="87"/>
      <c r="O416" s="87"/>
      <c r="P416" s="221" t="s">
        <v>238</v>
      </c>
      <c r="Q416" s="76"/>
      <c r="R416" s="77"/>
      <c r="S416" s="50"/>
    </row>
    <row r="417" spans="1:19" x14ac:dyDescent="0.25">
      <c r="A417" s="23"/>
      <c r="B417" s="23"/>
      <c r="C417" s="23"/>
      <c r="D417" s="36"/>
      <c r="E417" s="53"/>
      <c r="F417" s="35"/>
      <c r="G417" s="35"/>
      <c r="H417" s="35"/>
      <c r="I417" s="35"/>
      <c r="J417" s="35"/>
      <c r="K417" s="36"/>
      <c r="L417" s="36"/>
      <c r="M417" s="36"/>
      <c r="N417" s="36"/>
      <c r="O417" s="36"/>
      <c r="P417" s="36"/>
      <c r="Q417" s="36"/>
      <c r="R417" s="72"/>
      <c r="S417" s="55"/>
    </row>
    <row r="418" spans="1:19" ht="34.5" customHeight="1" x14ac:dyDescent="0.25">
      <c r="A418" s="16"/>
      <c r="B418" s="115" t="s">
        <v>40</v>
      </c>
      <c r="C418" s="136" t="s">
        <v>47</v>
      </c>
      <c r="D418" s="160">
        <v>2011</v>
      </c>
      <c r="E418" s="161">
        <v>1075.76</v>
      </c>
      <c r="F418" s="141">
        <v>3.18</v>
      </c>
      <c r="G418" s="94">
        <f>E418*F418</f>
        <v>3420.9168</v>
      </c>
      <c r="H418" s="94">
        <v>3227.28</v>
      </c>
      <c r="I418" s="84"/>
      <c r="J418" s="84"/>
      <c r="K418" s="84"/>
      <c r="L418" s="119"/>
      <c r="M418" s="119"/>
      <c r="N418" s="119"/>
      <c r="O418" s="119"/>
      <c r="P418" s="84">
        <v>0</v>
      </c>
      <c r="Q418" s="38"/>
      <c r="R418" s="75"/>
      <c r="S418" s="51"/>
    </row>
    <row r="419" spans="1:19" ht="25.5" x14ac:dyDescent="0.25">
      <c r="A419" s="16"/>
      <c r="B419" s="119"/>
      <c r="C419" s="136" t="s">
        <v>47</v>
      </c>
      <c r="D419" s="160">
        <v>2012</v>
      </c>
      <c r="E419" s="161">
        <v>2871.61</v>
      </c>
      <c r="F419" s="141">
        <v>3.18</v>
      </c>
      <c r="G419" s="94">
        <f>E419*F419</f>
        <v>9131.7198000000008</v>
      </c>
      <c r="H419" s="94">
        <v>25844.49</v>
      </c>
      <c r="I419" s="84"/>
      <c r="J419" s="84"/>
      <c r="K419" s="84"/>
      <c r="L419" s="119"/>
      <c r="M419" s="119"/>
      <c r="N419" s="119"/>
      <c r="O419" s="119"/>
      <c r="P419" s="84">
        <v>0</v>
      </c>
      <c r="Q419" s="38"/>
      <c r="R419" s="75"/>
      <c r="S419" s="51"/>
    </row>
    <row r="420" spans="1:19" ht="35.25" customHeight="1" x14ac:dyDescent="0.25">
      <c r="A420" s="18"/>
      <c r="B420" s="122"/>
      <c r="C420" s="132" t="s">
        <v>47</v>
      </c>
      <c r="D420" s="96" t="s">
        <v>25</v>
      </c>
      <c r="E420" s="89">
        <f>SUM(E418:E419)</f>
        <v>3947.37</v>
      </c>
      <c r="F420" s="89"/>
      <c r="G420" s="87">
        <f t="shared" ref="G420:H420" si="119">SUM(G418:G419)</f>
        <v>12552.636600000002</v>
      </c>
      <c r="H420" s="87">
        <f t="shared" si="119"/>
        <v>29071.77</v>
      </c>
      <c r="I420" s="87"/>
      <c r="J420" s="87"/>
      <c r="K420" s="87"/>
      <c r="L420" s="122"/>
      <c r="M420" s="122"/>
      <c r="N420" s="122"/>
      <c r="O420" s="122"/>
      <c r="P420" s="87">
        <v>0</v>
      </c>
      <c r="Q420" s="76"/>
      <c r="R420" s="77"/>
      <c r="S420" s="50"/>
    </row>
    <row r="421" spans="1:19" ht="25.5" x14ac:dyDescent="0.25">
      <c r="A421" s="16"/>
      <c r="B421" s="119"/>
      <c r="C421" s="136" t="s">
        <v>47</v>
      </c>
      <c r="D421" s="160">
        <v>2013</v>
      </c>
      <c r="E421" s="161">
        <v>1434.904</v>
      </c>
      <c r="F421" s="141">
        <v>3.18</v>
      </c>
      <c r="G421" s="94">
        <f>E421*F421</f>
        <v>4562.9947200000006</v>
      </c>
      <c r="H421" s="94">
        <v>21523.56</v>
      </c>
      <c r="I421" s="84"/>
      <c r="J421" s="84"/>
      <c r="K421" s="84"/>
      <c r="L421" s="119"/>
      <c r="M421" s="119"/>
      <c r="N421" s="119"/>
      <c r="O421" s="119"/>
      <c r="P421" s="84">
        <v>0</v>
      </c>
      <c r="Q421" s="38"/>
      <c r="R421" s="75"/>
      <c r="S421" s="51"/>
    </row>
    <row r="422" spans="1:19" ht="36" customHeight="1" x14ac:dyDescent="0.25">
      <c r="A422" s="18"/>
      <c r="B422" s="122"/>
      <c r="C422" s="132" t="s">
        <v>47</v>
      </c>
      <c r="D422" s="96" t="s">
        <v>38</v>
      </c>
      <c r="E422" s="89">
        <f>SUM(E420:E421)</f>
        <v>5382.2739999999994</v>
      </c>
      <c r="F422" s="89"/>
      <c r="G422" s="87">
        <f t="shared" ref="G422:H422" si="120">SUM(G420:G421)</f>
        <v>17115.63132</v>
      </c>
      <c r="H422" s="87">
        <f t="shared" si="120"/>
        <v>50595.33</v>
      </c>
      <c r="I422" s="87"/>
      <c r="J422" s="87"/>
      <c r="K422" s="87"/>
      <c r="L422" s="122"/>
      <c r="M422" s="122"/>
      <c r="N422" s="122"/>
      <c r="O422" s="122"/>
      <c r="P422" s="87">
        <v>0</v>
      </c>
      <c r="Q422" s="76"/>
      <c r="R422" s="77"/>
      <c r="S422" s="50"/>
    </row>
    <row r="423" spans="1:19" ht="25.5" x14ac:dyDescent="0.25">
      <c r="A423" s="16"/>
      <c r="B423" s="119"/>
      <c r="C423" s="136" t="s">
        <v>47</v>
      </c>
      <c r="D423" s="160">
        <v>2014</v>
      </c>
      <c r="E423" s="161">
        <v>1424.74</v>
      </c>
      <c r="F423" s="141">
        <v>3.18</v>
      </c>
      <c r="G423" s="142">
        <f>E423*F423</f>
        <v>4530.6732000000002</v>
      </c>
      <c r="H423" s="142">
        <v>31344.28</v>
      </c>
      <c r="I423" s="92"/>
      <c r="J423" s="92"/>
      <c r="K423" s="84"/>
      <c r="L423" s="119"/>
      <c r="M423" s="119"/>
      <c r="N423" s="119"/>
      <c r="O423" s="119"/>
      <c r="P423" s="84">
        <v>0</v>
      </c>
      <c r="Q423" s="38"/>
      <c r="R423" s="75"/>
      <c r="S423" s="51"/>
    </row>
    <row r="424" spans="1:19" ht="38.25" customHeight="1" x14ac:dyDescent="0.25">
      <c r="A424" s="18"/>
      <c r="B424" s="122"/>
      <c r="C424" s="132" t="s">
        <v>47</v>
      </c>
      <c r="D424" s="96" t="s">
        <v>24</v>
      </c>
      <c r="E424" s="89">
        <f>SUM(E422:E423)</f>
        <v>6807.0139999999992</v>
      </c>
      <c r="F424" s="89"/>
      <c r="G424" s="87">
        <f t="shared" ref="G424:H424" si="121">SUM(G422:G423)</f>
        <v>21646.304520000002</v>
      </c>
      <c r="H424" s="87">
        <f t="shared" si="121"/>
        <v>81939.61</v>
      </c>
      <c r="I424" s="87"/>
      <c r="J424" s="87"/>
      <c r="K424" s="87"/>
      <c r="L424" s="122"/>
      <c r="M424" s="122"/>
      <c r="N424" s="122"/>
      <c r="O424" s="122"/>
      <c r="P424" s="87">
        <v>0</v>
      </c>
      <c r="Q424" s="76"/>
      <c r="R424" s="77"/>
      <c r="S424" s="50"/>
    </row>
    <row r="425" spans="1:19" ht="25.5" x14ac:dyDescent="0.25">
      <c r="A425" s="16"/>
      <c r="B425" s="119"/>
      <c r="C425" s="136" t="s">
        <v>47</v>
      </c>
      <c r="D425" s="160">
        <v>2015</v>
      </c>
      <c r="E425" s="161">
        <v>1870.96</v>
      </c>
      <c r="F425" s="141">
        <v>3.37</v>
      </c>
      <c r="G425" s="142">
        <f>E425*F425</f>
        <v>6305.1352000000006</v>
      </c>
      <c r="H425" s="142">
        <v>52386.879999999997</v>
      </c>
      <c r="I425" s="92"/>
      <c r="J425" s="92"/>
      <c r="K425" s="84"/>
      <c r="L425" s="119"/>
      <c r="M425" s="119"/>
      <c r="N425" s="119"/>
      <c r="O425" s="119"/>
      <c r="P425" s="84">
        <v>0</v>
      </c>
      <c r="Q425" s="38"/>
      <c r="R425" s="75"/>
      <c r="S425" s="51"/>
    </row>
    <row r="426" spans="1:19" ht="39" customHeight="1" x14ac:dyDescent="0.25">
      <c r="A426" s="18"/>
      <c r="B426" s="122"/>
      <c r="C426" s="132" t="s">
        <v>47</v>
      </c>
      <c r="D426" s="96" t="s">
        <v>26</v>
      </c>
      <c r="E426" s="89">
        <f>SUM(E424:E425)</f>
        <v>8677.9739999999983</v>
      </c>
      <c r="F426" s="89"/>
      <c r="G426" s="87">
        <f t="shared" ref="G426:H426" si="122">SUM(G424:G425)</f>
        <v>27951.439720000002</v>
      </c>
      <c r="H426" s="87">
        <f t="shared" si="122"/>
        <v>134326.49</v>
      </c>
      <c r="I426" s="87"/>
      <c r="J426" s="87"/>
      <c r="K426" s="87"/>
      <c r="L426" s="122"/>
      <c r="M426" s="122"/>
      <c r="N426" s="122"/>
      <c r="O426" s="122"/>
      <c r="P426" s="87">
        <v>0</v>
      </c>
      <c r="Q426" s="76"/>
      <c r="R426" s="77"/>
      <c r="S426" s="50"/>
    </row>
    <row r="427" spans="1:19" ht="25.5" x14ac:dyDescent="0.25">
      <c r="A427" s="16"/>
      <c r="B427" s="119"/>
      <c r="C427" s="136" t="s">
        <v>47</v>
      </c>
      <c r="D427" s="99" t="s">
        <v>29</v>
      </c>
      <c r="E427" s="137">
        <v>470.26</v>
      </c>
      <c r="F427" s="141">
        <v>3.37</v>
      </c>
      <c r="G427" s="94">
        <f>E427*F427</f>
        <v>1584.7762</v>
      </c>
      <c r="H427" s="94">
        <v>16929.36</v>
      </c>
      <c r="I427" s="84"/>
      <c r="J427" s="84"/>
      <c r="K427" s="84"/>
      <c r="L427" s="119"/>
      <c r="M427" s="119"/>
      <c r="N427" s="119"/>
      <c r="O427" s="119"/>
      <c r="P427" s="84">
        <v>0</v>
      </c>
      <c r="Q427" s="38"/>
      <c r="R427" s="75"/>
      <c r="S427" s="51"/>
    </row>
    <row r="428" spans="1:19" ht="38.25" x14ac:dyDescent="0.25">
      <c r="A428" s="18"/>
      <c r="B428" s="122"/>
      <c r="C428" s="132" t="s">
        <v>47</v>
      </c>
      <c r="D428" s="100" t="s">
        <v>30</v>
      </c>
      <c r="E428" s="89">
        <f>SUM(E426:E427)</f>
        <v>9148.2339999999986</v>
      </c>
      <c r="F428" s="89"/>
      <c r="G428" s="87">
        <f t="shared" ref="G428:H428" si="123">SUM(G426:G427)</f>
        <v>29536.215920000002</v>
      </c>
      <c r="H428" s="87">
        <f t="shared" si="123"/>
        <v>151255.84999999998</v>
      </c>
      <c r="I428" s="87"/>
      <c r="J428" s="87"/>
      <c r="K428" s="87"/>
      <c r="L428" s="122"/>
      <c r="M428" s="122"/>
      <c r="N428" s="122"/>
      <c r="O428" s="122"/>
      <c r="P428" s="87">
        <v>0</v>
      </c>
      <c r="Q428" s="76"/>
      <c r="R428" s="77"/>
      <c r="S428" s="50"/>
    </row>
    <row r="429" spans="1:19" ht="25.5" x14ac:dyDescent="0.25">
      <c r="A429" s="16"/>
      <c r="B429" s="119"/>
      <c r="C429" s="136" t="s">
        <v>47</v>
      </c>
      <c r="D429" s="99" t="s">
        <v>31</v>
      </c>
      <c r="E429" s="137">
        <v>762.94</v>
      </c>
      <c r="F429" s="141">
        <v>3.37</v>
      </c>
      <c r="G429" s="94">
        <f>E429*F429</f>
        <v>2571.1078000000002</v>
      </c>
      <c r="H429" s="94">
        <v>27465.84</v>
      </c>
      <c r="I429" s="84"/>
      <c r="J429" s="84"/>
      <c r="K429" s="84"/>
      <c r="L429" s="119"/>
      <c r="M429" s="119"/>
      <c r="N429" s="119"/>
      <c r="O429" s="119"/>
      <c r="P429" s="84">
        <v>0</v>
      </c>
      <c r="Q429" s="38"/>
      <c r="R429" s="75"/>
      <c r="S429" s="51"/>
    </row>
    <row r="430" spans="1:19" ht="38.25" x14ac:dyDescent="0.25">
      <c r="A430" s="18"/>
      <c r="B430" s="122"/>
      <c r="C430" s="132" t="s">
        <v>47</v>
      </c>
      <c r="D430" s="100" t="s">
        <v>32</v>
      </c>
      <c r="E430" s="89">
        <f>SUM(E428:E429)</f>
        <v>9911.1739999999991</v>
      </c>
      <c r="F430" s="89"/>
      <c r="G430" s="87">
        <f t="shared" ref="G430:H430" si="124">SUM(G428:G429)</f>
        <v>32107.323720000004</v>
      </c>
      <c r="H430" s="87">
        <f t="shared" si="124"/>
        <v>178721.68999999997</v>
      </c>
      <c r="I430" s="87"/>
      <c r="J430" s="87"/>
      <c r="K430" s="87"/>
      <c r="L430" s="122"/>
      <c r="M430" s="122"/>
      <c r="N430" s="122"/>
      <c r="O430" s="122"/>
      <c r="P430" s="87">
        <v>0</v>
      </c>
      <c r="Q430" s="76"/>
      <c r="R430" s="77"/>
      <c r="S430" s="50"/>
    </row>
    <row r="431" spans="1:19" ht="25.5" x14ac:dyDescent="0.25">
      <c r="A431" s="16"/>
      <c r="B431" s="119"/>
      <c r="C431" s="136" t="s">
        <v>47</v>
      </c>
      <c r="D431" s="99" t="s">
        <v>33</v>
      </c>
      <c r="E431" s="137">
        <v>658.44</v>
      </c>
      <c r="F431" s="141">
        <v>3.37</v>
      </c>
      <c r="G431" s="94">
        <f>E431*F431</f>
        <v>2218.9428000000003</v>
      </c>
      <c r="H431" s="94">
        <v>23703.84</v>
      </c>
      <c r="I431" s="84"/>
      <c r="J431" s="84"/>
      <c r="K431" s="84"/>
      <c r="L431" s="119"/>
      <c r="M431" s="119"/>
      <c r="N431" s="119"/>
      <c r="O431" s="119"/>
      <c r="P431" s="84">
        <v>127866.65</v>
      </c>
      <c r="Q431" s="38"/>
      <c r="R431" s="75"/>
      <c r="S431" s="51"/>
    </row>
    <row r="432" spans="1:19" ht="38.25" x14ac:dyDescent="0.25">
      <c r="A432" s="18"/>
      <c r="B432" s="122"/>
      <c r="C432" s="132" t="s">
        <v>47</v>
      </c>
      <c r="D432" s="100" t="s">
        <v>35</v>
      </c>
      <c r="E432" s="89">
        <f>SUM(E430:E431)</f>
        <v>10569.614</v>
      </c>
      <c r="F432" s="89"/>
      <c r="G432" s="87">
        <f t="shared" ref="G432:H432" si="125">SUM(G430:G431)</f>
        <v>34326.266520000005</v>
      </c>
      <c r="H432" s="87">
        <f t="shared" si="125"/>
        <v>202425.52999999997</v>
      </c>
      <c r="I432" s="87"/>
      <c r="J432" s="87"/>
      <c r="K432" s="87"/>
      <c r="L432" s="122"/>
      <c r="M432" s="122"/>
      <c r="N432" s="122"/>
      <c r="O432" s="122"/>
      <c r="P432" s="87">
        <v>127866.65</v>
      </c>
      <c r="Q432" s="76"/>
      <c r="R432" s="77"/>
      <c r="S432" s="50"/>
    </row>
    <row r="433" spans="1:19" ht="25.5" x14ac:dyDescent="0.25">
      <c r="A433" s="16"/>
      <c r="B433" s="119"/>
      <c r="C433" s="136" t="s">
        <v>47</v>
      </c>
      <c r="D433" s="99" t="s">
        <v>34</v>
      </c>
      <c r="E433" s="137">
        <v>912.56</v>
      </c>
      <c r="F433" s="141">
        <v>3.37</v>
      </c>
      <c r="G433" s="94">
        <f>E433*F433</f>
        <v>3075.3271999999997</v>
      </c>
      <c r="H433" s="94">
        <v>32852.160000000003</v>
      </c>
      <c r="I433" s="84"/>
      <c r="J433" s="84"/>
      <c r="K433" s="84"/>
      <c r="L433" s="119"/>
      <c r="M433" s="119"/>
      <c r="N433" s="119"/>
      <c r="O433" s="119"/>
      <c r="P433" s="84">
        <v>0</v>
      </c>
      <c r="Q433" s="38"/>
      <c r="R433" s="75"/>
      <c r="S433" s="51"/>
    </row>
    <row r="434" spans="1:19" ht="38.25" x14ac:dyDescent="0.25">
      <c r="A434" s="18"/>
      <c r="B434" s="122"/>
      <c r="C434" s="132" t="s">
        <v>47</v>
      </c>
      <c r="D434" s="100" t="s">
        <v>36</v>
      </c>
      <c r="E434" s="89">
        <f>SUM(E432:E433)</f>
        <v>11482.173999999999</v>
      </c>
      <c r="F434" s="89"/>
      <c r="G434" s="87">
        <f t="shared" ref="G434:H434" si="126">SUM(G432:G433)</f>
        <v>37401.593720000004</v>
      </c>
      <c r="H434" s="87">
        <f t="shared" si="126"/>
        <v>235277.68999999997</v>
      </c>
      <c r="I434" s="87"/>
      <c r="J434" s="87"/>
      <c r="K434" s="87"/>
      <c r="L434" s="122"/>
      <c r="M434" s="122"/>
      <c r="N434" s="122"/>
      <c r="O434" s="122"/>
      <c r="P434" s="87">
        <v>127866.65</v>
      </c>
      <c r="Q434" s="76"/>
      <c r="R434" s="77"/>
      <c r="S434" s="50"/>
    </row>
    <row r="435" spans="1:19" s="2" customFormat="1" ht="25.5" x14ac:dyDescent="0.25">
      <c r="A435" s="20"/>
      <c r="B435" s="129"/>
      <c r="C435" s="131" t="s">
        <v>47</v>
      </c>
      <c r="D435" s="99" t="s">
        <v>57</v>
      </c>
      <c r="E435" s="93">
        <v>736.56</v>
      </c>
      <c r="F435" s="94">
        <v>3.37</v>
      </c>
      <c r="G435" s="94">
        <f>E435*F435</f>
        <v>2482.2071999999998</v>
      </c>
      <c r="H435" s="94">
        <v>29462.400000000001</v>
      </c>
      <c r="I435" s="94"/>
      <c r="J435" s="94"/>
      <c r="K435" s="94"/>
      <c r="L435" s="129"/>
      <c r="M435" s="129"/>
      <c r="N435" s="129"/>
      <c r="O435" s="129"/>
      <c r="P435" s="94">
        <v>0</v>
      </c>
      <c r="Q435" s="73"/>
      <c r="R435" s="74"/>
      <c r="S435" s="47"/>
    </row>
    <row r="436" spans="1:19" s="2" customFormat="1" ht="38.25" x14ac:dyDescent="0.25">
      <c r="A436" s="18"/>
      <c r="B436" s="122"/>
      <c r="C436" s="132" t="s">
        <v>47</v>
      </c>
      <c r="D436" s="100" t="s">
        <v>58</v>
      </c>
      <c r="E436" s="89">
        <f>SUM(E434:E435)</f>
        <v>12218.733999999999</v>
      </c>
      <c r="F436" s="89"/>
      <c r="G436" s="87">
        <f t="shared" ref="G436:H436" si="127">SUM(G434:G435)</f>
        <v>39883.800920000001</v>
      </c>
      <c r="H436" s="87">
        <f t="shared" si="127"/>
        <v>264740.08999999997</v>
      </c>
      <c r="I436" s="87"/>
      <c r="J436" s="87"/>
      <c r="K436" s="87"/>
      <c r="L436" s="122"/>
      <c r="M436" s="122"/>
      <c r="N436" s="122"/>
      <c r="O436" s="122"/>
      <c r="P436" s="87">
        <v>127866.65</v>
      </c>
      <c r="Q436" s="76"/>
      <c r="R436" s="77"/>
      <c r="S436" s="50"/>
    </row>
    <row r="437" spans="1:19" s="2" customFormat="1" ht="25.5" x14ac:dyDescent="0.25">
      <c r="A437" s="20"/>
      <c r="B437" s="129"/>
      <c r="C437" s="131" t="s">
        <v>47</v>
      </c>
      <c r="D437" s="99" t="s">
        <v>61</v>
      </c>
      <c r="E437" s="93">
        <v>1067.3399999999999</v>
      </c>
      <c r="F437" s="94">
        <v>3.37</v>
      </c>
      <c r="G437" s="94">
        <f>E437*F437</f>
        <v>3596.9357999999997</v>
      </c>
      <c r="H437" s="94">
        <v>42693.599999999999</v>
      </c>
      <c r="I437" s="94"/>
      <c r="J437" s="94"/>
      <c r="K437" s="94"/>
      <c r="L437" s="129"/>
      <c r="M437" s="129"/>
      <c r="N437" s="129"/>
      <c r="O437" s="129"/>
      <c r="P437" s="94">
        <v>96962.46</v>
      </c>
      <c r="Q437" s="73"/>
      <c r="R437" s="74"/>
      <c r="S437" s="47"/>
    </row>
    <row r="438" spans="1:19" s="2" customFormat="1" ht="38.25" customHeight="1" x14ac:dyDescent="0.25">
      <c r="A438" s="18"/>
      <c r="B438" s="122"/>
      <c r="C438" s="132" t="s">
        <v>47</v>
      </c>
      <c r="D438" s="100" t="s">
        <v>63</v>
      </c>
      <c r="E438" s="89">
        <f>SUM(E436:E437)</f>
        <v>13286.073999999999</v>
      </c>
      <c r="F438" s="89"/>
      <c r="G438" s="87">
        <f t="shared" ref="G438:H438" si="128">SUM(G436:G437)</f>
        <v>43480.736720000001</v>
      </c>
      <c r="H438" s="87">
        <f t="shared" si="128"/>
        <v>307433.68999999994</v>
      </c>
      <c r="I438" s="87"/>
      <c r="J438" s="87"/>
      <c r="K438" s="87"/>
      <c r="L438" s="122"/>
      <c r="M438" s="122"/>
      <c r="N438" s="122"/>
      <c r="O438" s="122"/>
      <c r="P438" s="87">
        <f>SUM(P436:P437)</f>
        <v>224829.11</v>
      </c>
      <c r="Q438" s="76"/>
      <c r="R438" s="77"/>
      <c r="S438" s="50"/>
    </row>
    <row r="439" spans="1:19" s="2" customFormat="1" ht="27" customHeight="1" x14ac:dyDescent="0.25">
      <c r="A439" s="20"/>
      <c r="B439" s="129"/>
      <c r="C439" s="131" t="s">
        <v>47</v>
      </c>
      <c r="D439" s="99" t="s">
        <v>64</v>
      </c>
      <c r="E439" s="93">
        <v>658.3</v>
      </c>
      <c r="F439" s="94">
        <v>3.37</v>
      </c>
      <c r="G439" s="94">
        <f>E439*F439</f>
        <v>2218.471</v>
      </c>
      <c r="H439" s="94">
        <v>26332</v>
      </c>
      <c r="I439" s="94"/>
      <c r="J439" s="94"/>
      <c r="K439" s="94"/>
      <c r="L439" s="129"/>
      <c r="M439" s="129"/>
      <c r="N439" s="129"/>
      <c r="O439" s="129"/>
      <c r="P439" s="94">
        <v>0</v>
      </c>
      <c r="Q439" s="73"/>
      <c r="R439" s="74"/>
      <c r="S439" s="47"/>
    </row>
    <row r="440" spans="1:19" s="2" customFormat="1" ht="38.25" customHeight="1" x14ac:dyDescent="0.25">
      <c r="A440" s="18"/>
      <c r="B440" s="122"/>
      <c r="C440" s="132" t="s">
        <v>47</v>
      </c>
      <c r="D440" s="100" t="s">
        <v>65</v>
      </c>
      <c r="E440" s="89">
        <f>SUM(E438:E439)</f>
        <v>13944.373999999998</v>
      </c>
      <c r="F440" s="89"/>
      <c r="G440" s="87">
        <f t="shared" ref="G440:H440" si="129">SUM(G438:G439)</f>
        <v>45699.207719999999</v>
      </c>
      <c r="H440" s="87">
        <f t="shared" si="129"/>
        <v>333765.68999999994</v>
      </c>
      <c r="I440" s="87"/>
      <c r="J440" s="87"/>
      <c r="K440" s="87"/>
      <c r="L440" s="122"/>
      <c r="M440" s="122"/>
      <c r="N440" s="122"/>
      <c r="O440" s="122"/>
      <c r="P440" s="87">
        <v>224829.11</v>
      </c>
      <c r="Q440" s="76"/>
      <c r="R440" s="77"/>
      <c r="S440" s="50"/>
    </row>
    <row r="441" spans="1:19" s="2" customFormat="1" ht="28.5" customHeight="1" x14ac:dyDescent="0.25">
      <c r="A441" s="20"/>
      <c r="B441" s="129"/>
      <c r="C441" s="136" t="s">
        <v>47</v>
      </c>
      <c r="D441" s="99" t="s">
        <v>70</v>
      </c>
      <c r="E441" s="93">
        <v>701.46</v>
      </c>
      <c r="F441" s="94">
        <v>3.37</v>
      </c>
      <c r="G441" s="94">
        <v>2363.9202</v>
      </c>
      <c r="H441" s="94">
        <v>28058.400000000001</v>
      </c>
      <c r="I441" s="94"/>
      <c r="J441" s="94"/>
      <c r="K441" s="94"/>
      <c r="L441" s="129"/>
      <c r="M441" s="129"/>
      <c r="N441" s="129"/>
      <c r="O441" s="129"/>
      <c r="P441" s="94">
        <v>0</v>
      </c>
      <c r="Q441" s="73"/>
      <c r="R441" s="74"/>
      <c r="S441" s="47"/>
    </row>
    <row r="442" spans="1:19" s="2" customFormat="1" ht="38.25" customHeight="1" x14ac:dyDescent="0.25">
      <c r="A442" s="18"/>
      <c r="B442" s="122"/>
      <c r="C442" s="132" t="s">
        <v>47</v>
      </c>
      <c r="D442" s="100" t="s">
        <v>69</v>
      </c>
      <c r="E442" s="89">
        <f>SUM(E440:E441)</f>
        <v>14645.833999999999</v>
      </c>
      <c r="F442" s="89"/>
      <c r="G442" s="87">
        <f t="shared" ref="G442" si="130">SUM(G440:G441)</f>
        <v>48063.127919999999</v>
      </c>
      <c r="H442" s="87">
        <f>SUM(H440:H441)</f>
        <v>361824.08999999997</v>
      </c>
      <c r="I442" s="87"/>
      <c r="J442" s="87"/>
      <c r="K442" s="87"/>
      <c r="L442" s="122"/>
      <c r="M442" s="122"/>
      <c r="N442" s="122"/>
      <c r="O442" s="122"/>
      <c r="P442" s="87">
        <v>224829.11</v>
      </c>
      <c r="Q442" s="76"/>
      <c r="R442" s="77"/>
      <c r="S442" s="50"/>
    </row>
    <row r="443" spans="1:19" s="2" customFormat="1" ht="28.5" customHeight="1" x14ac:dyDescent="0.25">
      <c r="A443" s="20"/>
      <c r="B443" s="129"/>
      <c r="C443" s="131" t="s">
        <v>47</v>
      </c>
      <c r="D443" s="99" t="s">
        <v>71</v>
      </c>
      <c r="E443" s="93">
        <v>940.72</v>
      </c>
      <c r="F443" s="94">
        <v>3.45</v>
      </c>
      <c r="G443" s="94">
        <f>E443*F443</f>
        <v>3245.4840000000004</v>
      </c>
      <c r="H443" s="94">
        <f>E443*45</f>
        <v>42332.4</v>
      </c>
      <c r="I443" s="94"/>
      <c r="J443" s="94"/>
      <c r="K443" s="94"/>
      <c r="L443" s="129"/>
      <c r="M443" s="129"/>
      <c r="N443" s="129"/>
      <c r="O443" s="129"/>
      <c r="P443" s="94">
        <v>0</v>
      </c>
      <c r="Q443" s="73"/>
      <c r="R443" s="74"/>
      <c r="S443" s="47"/>
    </row>
    <row r="444" spans="1:19" s="2" customFormat="1" ht="38.25" customHeight="1" x14ac:dyDescent="0.25">
      <c r="A444" s="18"/>
      <c r="B444" s="122"/>
      <c r="C444" s="132" t="s">
        <v>47</v>
      </c>
      <c r="D444" s="100" t="s">
        <v>72</v>
      </c>
      <c r="E444" s="89">
        <f>SUM(E442:E443)</f>
        <v>15586.553999999998</v>
      </c>
      <c r="F444" s="89"/>
      <c r="G444" s="87">
        <f t="shared" ref="G444:H444" si="131">SUM(G442:G443)</f>
        <v>51308.611919999996</v>
      </c>
      <c r="H444" s="87">
        <f t="shared" si="131"/>
        <v>404156.49</v>
      </c>
      <c r="I444" s="87"/>
      <c r="J444" s="87"/>
      <c r="K444" s="87"/>
      <c r="L444" s="122"/>
      <c r="M444" s="122"/>
      <c r="N444" s="122"/>
      <c r="O444" s="122"/>
      <c r="P444" s="87">
        <v>224829.11</v>
      </c>
      <c r="Q444" s="76"/>
      <c r="R444" s="77"/>
      <c r="S444" s="50"/>
    </row>
    <row r="445" spans="1:19" s="2" customFormat="1" ht="33" customHeight="1" x14ac:dyDescent="0.25">
      <c r="A445" s="20"/>
      <c r="B445" s="129"/>
      <c r="C445" s="131" t="s">
        <v>47</v>
      </c>
      <c r="D445" s="99" t="s">
        <v>73</v>
      </c>
      <c r="E445" s="93">
        <v>1316.32</v>
      </c>
      <c r="F445" s="94">
        <v>3.45</v>
      </c>
      <c r="G445" s="94">
        <f>E445*F445</f>
        <v>4541.3040000000001</v>
      </c>
      <c r="H445" s="94">
        <f>E445*45</f>
        <v>59234.399999999994</v>
      </c>
      <c r="I445" s="94"/>
      <c r="J445" s="94"/>
      <c r="K445" s="94"/>
      <c r="L445" s="129"/>
      <c r="M445" s="129"/>
      <c r="N445" s="129"/>
      <c r="O445" s="129"/>
      <c r="P445" s="94">
        <v>0</v>
      </c>
      <c r="Q445" s="73"/>
      <c r="R445" s="74"/>
      <c r="S445" s="47"/>
    </row>
    <row r="446" spans="1:19" s="2" customFormat="1" ht="43.5" customHeight="1" x14ac:dyDescent="0.25">
      <c r="A446" s="18"/>
      <c r="B446" s="122"/>
      <c r="C446" s="132" t="s">
        <v>47</v>
      </c>
      <c r="D446" s="100" t="s">
        <v>74</v>
      </c>
      <c r="E446" s="89">
        <f>SUM(E444:E445)</f>
        <v>16902.874</v>
      </c>
      <c r="F446" s="89"/>
      <c r="G446" s="87">
        <f t="shared" ref="G446:H446" si="132">SUM(G444:G445)</f>
        <v>55849.915919999999</v>
      </c>
      <c r="H446" s="87">
        <f t="shared" si="132"/>
        <v>463390.89</v>
      </c>
      <c r="I446" s="87"/>
      <c r="J446" s="87"/>
      <c r="K446" s="87"/>
      <c r="L446" s="122"/>
      <c r="M446" s="122"/>
      <c r="N446" s="122"/>
      <c r="O446" s="122"/>
      <c r="P446" s="87">
        <v>224829.11</v>
      </c>
      <c r="Q446" s="76"/>
      <c r="R446" s="77"/>
      <c r="S446" s="50"/>
    </row>
    <row r="447" spans="1:19" s="2" customFormat="1" ht="28.5" customHeight="1" x14ac:dyDescent="0.25">
      <c r="A447" s="20"/>
      <c r="B447" s="129"/>
      <c r="C447" s="131" t="s">
        <v>47</v>
      </c>
      <c r="D447" s="99" t="s">
        <v>76</v>
      </c>
      <c r="E447" s="93">
        <v>1068.56</v>
      </c>
      <c r="F447" s="94">
        <v>3.45</v>
      </c>
      <c r="G447" s="94">
        <f>E447*F447</f>
        <v>3686.5320000000002</v>
      </c>
      <c r="H447" s="94">
        <f>E447*45</f>
        <v>48085.2</v>
      </c>
      <c r="I447" s="94"/>
      <c r="J447" s="94"/>
      <c r="K447" s="94"/>
      <c r="L447" s="129"/>
      <c r="M447" s="129"/>
      <c r="N447" s="129"/>
      <c r="O447" s="129"/>
      <c r="P447" s="94">
        <v>0</v>
      </c>
      <c r="Q447" s="73"/>
      <c r="R447" s="74"/>
      <c r="S447" s="47"/>
    </row>
    <row r="448" spans="1:19" s="2" customFormat="1" ht="43.5" customHeight="1" x14ac:dyDescent="0.25">
      <c r="A448" s="18"/>
      <c r="B448" s="122"/>
      <c r="C448" s="132" t="s">
        <v>47</v>
      </c>
      <c r="D448" s="100" t="s">
        <v>77</v>
      </c>
      <c r="E448" s="89">
        <f>SUM(E446:E447)</f>
        <v>17971.434000000001</v>
      </c>
      <c r="F448" s="89"/>
      <c r="G448" s="87">
        <f t="shared" ref="G448:H448" si="133">SUM(G446:G447)</f>
        <v>59536.447919999999</v>
      </c>
      <c r="H448" s="87">
        <f t="shared" si="133"/>
        <v>511476.09</v>
      </c>
      <c r="I448" s="87"/>
      <c r="J448" s="87"/>
      <c r="K448" s="87"/>
      <c r="L448" s="122"/>
      <c r="M448" s="122"/>
      <c r="N448" s="122"/>
      <c r="O448" s="122"/>
      <c r="P448" s="87">
        <v>224829.11</v>
      </c>
      <c r="Q448" s="76"/>
      <c r="R448" s="77"/>
      <c r="S448" s="50"/>
    </row>
    <row r="449" spans="1:19" s="2" customFormat="1" ht="27.75" customHeight="1" x14ac:dyDescent="0.25">
      <c r="A449" s="20"/>
      <c r="B449" s="129"/>
      <c r="C449" s="131" t="s">
        <v>47</v>
      </c>
      <c r="D449" s="99" t="s">
        <v>78</v>
      </c>
      <c r="E449" s="93">
        <v>353.24</v>
      </c>
      <c r="F449" s="94">
        <v>3.45</v>
      </c>
      <c r="G449" s="94">
        <f>E449*F449</f>
        <v>1218.6780000000001</v>
      </c>
      <c r="H449" s="94">
        <f>E449*45</f>
        <v>15895.800000000001</v>
      </c>
      <c r="I449" s="94"/>
      <c r="J449" s="94"/>
      <c r="K449" s="94"/>
      <c r="L449" s="129"/>
      <c r="M449" s="129"/>
      <c r="N449" s="129"/>
      <c r="O449" s="129"/>
      <c r="P449" s="94">
        <v>61660.01</v>
      </c>
      <c r="Q449" s="73"/>
      <c r="R449" s="74"/>
      <c r="S449" s="47"/>
    </row>
    <row r="450" spans="1:19" s="2" customFormat="1" ht="43.5" customHeight="1" x14ac:dyDescent="0.25">
      <c r="A450" s="18"/>
      <c r="B450" s="122"/>
      <c r="C450" s="132" t="s">
        <v>47</v>
      </c>
      <c r="D450" s="100" t="s">
        <v>79</v>
      </c>
      <c r="E450" s="89">
        <f>SUM(E448:E449)</f>
        <v>18324.674000000003</v>
      </c>
      <c r="F450" s="89"/>
      <c r="G450" s="87">
        <f t="shared" ref="G450:H450" si="134">SUM(G448:G449)</f>
        <v>60755.125919999999</v>
      </c>
      <c r="H450" s="87">
        <f t="shared" si="134"/>
        <v>527371.89</v>
      </c>
      <c r="I450" s="87"/>
      <c r="J450" s="87"/>
      <c r="K450" s="87"/>
      <c r="L450" s="122"/>
      <c r="M450" s="122"/>
      <c r="N450" s="122"/>
      <c r="O450" s="122"/>
      <c r="P450" s="87">
        <f>P448+P449</f>
        <v>286489.12</v>
      </c>
      <c r="Q450" s="76"/>
      <c r="R450" s="77"/>
      <c r="S450" s="50"/>
    </row>
    <row r="451" spans="1:19" s="2" customFormat="1" ht="28.5" customHeight="1" x14ac:dyDescent="0.25">
      <c r="A451" s="20"/>
      <c r="B451" s="129"/>
      <c r="C451" s="131" t="s">
        <v>47</v>
      </c>
      <c r="D451" s="99" t="s">
        <v>82</v>
      </c>
      <c r="E451" s="93">
        <v>212.16</v>
      </c>
      <c r="F451" s="94">
        <v>3.45</v>
      </c>
      <c r="G451" s="94">
        <f>E451*F451</f>
        <v>731.952</v>
      </c>
      <c r="H451" s="94">
        <f>E451*57</f>
        <v>12093.119999999999</v>
      </c>
      <c r="I451" s="94"/>
      <c r="J451" s="94"/>
      <c r="K451" s="94"/>
      <c r="L451" s="129"/>
      <c r="M451" s="129"/>
      <c r="N451" s="129"/>
      <c r="O451" s="129"/>
      <c r="P451" s="94">
        <v>231466.97</v>
      </c>
      <c r="Q451" s="73"/>
      <c r="R451" s="74"/>
      <c r="S451" s="47"/>
    </row>
    <row r="452" spans="1:19" s="2" customFormat="1" ht="43.5" customHeight="1" x14ac:dyDescent="0.25">
      <c r="A452" s="18"/>
      <c r="B452" s="122"/>
      <c r="C452" s="132" t="s">
        <v>47</v>
      </c>
      <c r="D452" s="100" t="s">
        <v>81</v>
      </c>
      <c r="E452" s="89">
        <f>SUM(E450:E451)</f>
        <v>18536.834000000003</v>
      </c>
      <c r="F452" s="89"/>
      <c r="G452" s="87">
        <f t="shared" ref="G452:P452" si="135">SUM(G450:G451)</f>
        <v>61487.077919999996</v>
      </c>
      <c r="H452" s="87">
        <f t="shared" si="135"/>
        <v>539465.01</v>
      </c>
      <c r="I452" s="87"/>
      <c r="J452" s="87"/>
      <c r="K452" s="87"/>
      <c r="L452" s="87"/>
      <c r="M452" s="87"/>
      <c r="N452" s="87"/>
      <c r="O452" s="87"/>
      <c r="P452" s="87">
        <f t="shared" si="135"/>
        <v>517956.08999999997</v>
      </c>
      <c r="Q452" s="76"/>
      <c r="R452" s="77"/>
      <c r="S452" s="50"/>
    </row>
    <row r="453" spans="1:19" s="2" customFormat="1" ht="26.25" customHeight="1" x14ac:dyDescent="0.25">
      <c r="A453" s="20"/>
      <c r="B453" s="129"/>
      <c r="C453" s="131" t="s">
        <v>47</v>
      </c>
      <c r="D453" s="99" t="s">
        <v>84</v>
      </c>
      <c r="E453" s="93">
        <v>789.56</v>
      </c>
      <c r="F453" s="94">
        <v>3.45</v>
      </c>
      <c r="G453" s="94">
        <f>E453*F453</f>
        <v>2723.982</v>
      </c>
      <c r="H453" s="94">
        <f>E453*57</f>
        <v>45004.92</v>
      </c>
      <c r="I453" s="94"/>
      <c r="J453" s="94"/>
      <c r="K453" s="94"/>
      <c r="L453" s="94"/>
      <c r="M453" s="94"/>
      <c r="N453" s="94"/>
      <c r="O453" s="94"/>
      <c r="P453" s="94">
        <v>0</v>
      </c>
      <c r="Q453" s="73"/>
      <c r="R453" s="74"/>
      <c r="S453" s="47"/>
    </row>
    <row r="454" spans="1:19" s="2" customFormat="1" ht="43.5" customHeight="1" x14ac:dyDescent="0.25">
      <c r="A454" s="18"/>
      <c r="B454" s="122"/>
      <c r="C454" s="132" t="s">
        <v>47</v>
      </c>
      <c r="D454" s="100" t="s">
        <v>86</v>
      </c>
      <c r="E454" s="89">
        <f>SUM(E452:E453)</f>
        <v>19326.394000000004</v>
      </c>
      <c r="F454" s="89"/>
      <c r="G454" s="87">
        <f t="shared" ref="G454:P454" si="136">SUM(G452:G453)</f>
        <v>64211.05992</v>
      </c>
      <c r="H454" s="87">
        <f t="shared" si="136"/>
        <v>584469.93000000005</v>
      </c>
      <c r="I454" s="87"/>
      <c r="J454" s="87"/>
      <c r="K454" s="87"/>
      <c r="L454" s="87"/>
      <c r="M454" s="87"/>
      <c r="N454" s="87"/>
      <c r="O454" s="87"/>
      <c r="P454" s="87">
        <f t="shared" si="136"/>
        <v>517956.08999999997</v>
      </c>
      <c r="Q454" s="76"/>
      <c r="R454" s="77"/>
      <c r="S454" s="50"/>
    </row>
    <row r="455" spans="1:19" s="2" customFormat="1" ht="30.75" customHeight="1" x14ac:dyDescent="0.25">
      <c r="A455" s="20"/>
      <c r="B455" s="129"/>
      <c r="C455" s="131" t="s">
        <v>47</v>
      </c>
      <c r="D455" s="99" t="s">
        <v>89</v>
      </c>
      <c r="E455" s="93">
        <v>1452.34</v>
      </c>
      <c r="F455" s="94">
        <v>3.45</v>
      </c>
      <c r="G455" s="94">
        <f>E455*F455</f>
        <v>5010.5730000000003</v>
      </c>
      <c r="H455" s="94">
        <f>E455*57</f>
        <v>82783.37999999999</v>
      </c>
      <c r="I455" s="94"/>
      <c r="J455" s="94"/>
      <c r="K455" s="94"/>
      <c r="L455" s="94"/>
      <c r="M455" s="94"/>
      <c r="N455" s="94"/>
      <c r="O455" s="94"/>
      <c r="P455" s="94">
        <v>0</v>
      </c>
      <c r="Q455" s="73"/>
      <c r="R455" s="74"/>
      <c r="S455" s="47"/>
    </row>
    <row r="456" spans="1:19" s="2" customFormat="1" ht="43.5" customHeight="1" x14ac:dyDescent="0.25">
      <c r="A456" s="18"/>
      <c r="B456" s="122"/>
      <c r="C456" s="132" t="s">
        <v>47</v>
      </c>
      <c r="D456" s="100" t="s">
        <v>90</v>
      </c>
      <c r="E456" s="89">
        <f>SUM(E454:E455)</f>
        <v>20778.734000000004</v>
      </c>
      <c r="F456" s="89"/>
      <c r="G456" s="87">
        <f t="shared" ref="G456:P456" si="137">SUM(G454:G455)</f>
        <v>69221.632920000004</v>
      </c>
      <c r="H456" s="87">
        <f t="shared" si="137"/>
        <v>667253.31000000006</v>
      </c>
      <c r="I456" s="87"/>
      <c r="J456" s="87"/>
      <c r="K456" s="87"/>
      <c r="L456" s="87"/>
      <c r="M456" s="87"/>
      <c r="N456" s="87"/>
      <c r="O456" s="87"/>
      <c r="P456" s="87">
        <f t="shared" si="137"/>
        <v>517956.08999999997</v>
      </c>
      <c r="Q456" s="76"/>
      <c r="R456" s="77"/>
      <c r="S456" s="50"/>
    </row>
    <row r="457" spans="1:19" s="2" customFormat="1" ht="28.5" customHeight="1" x14ac:dyDescent="0.25">
      <c r="A457" s="20"/>
      <c r="B457" s="129"/>
      <c r="C457" s="131" t="s">
        <v>47</v>
      </c>
      <c r="D457" s="99" t="s">
        <v>93</v>
      </c>
      <c r="E457" s="93">
        <v>1201.4000000000001</v>
      </c>
      <c r="F457" s="94">
        <v>3.45</v>
      </c>
      <c r="G457" s="94">
        <f>E457*F457</f>
        <v>4144.8300000000008</v>
      </c>
      <c r="H457" s="94">
        <f>E457*57</f>
        <v>68479.8</v>
      </c>
      <c r="I457" s="94"/>
      <c r="J457" s="94"/>
      <c r="K457" s="94"/>
      <c r="L457" s="94"/>
      <c r="M457" s="94"/>
      <c r="N457" s="94"/>
      <c r="O457" s="94"/>
      <c r="P457" s="94">
        <v>0</v>
      </c>
      <c r="Q457" s="73"/>
      <c r="R457" s="74"/>
      <c r="S457" s="47"/>
    </row>
    <row r="458" spans="1:19" s="2" customFormat="1" ht="42" customHeight="1" x14ac:dyDescent="0.25">
      <c r="A458" s="18"/>
      <c r="B458" s="122"/>
      <c r="C458" s="132" t="s">
        <v>47</v>
      </c>
      <c r="D458" s="100" t="s">
        <v>94</v>
      </c>
      <c r="E458" s="89">
        <f>SUM(E456:E457)</f>
        <v>21980.134000000005</v>
      </c>
      <c r="F458" s="89"/>
      <c r="G458" s="87">
        <f t="shared" ref="G458:H458" si="138">SUM(G456:G457)</f>
        <v>73366.462920000005</v>
      </c>
      <c r="H458" s="87">
        <f t="shared" si="138"/>
        <v>735733.1100000001</v>
      </c>
      <c r="I458" s="87"/>
      <c r="J458" s="87"/>
      <c r="K458" s="87"/>
      <c r="L458" s="87"/>
      <c r="M458" s="87"/>
      <c r="N458" s="87"/>
      <c r="O458" s="87"/>
      <c r="P458" s="87">
        <v>517956.09</v>
      </c>
      <c r="Q458" s="76"/>
      <c r="R458" s="77"/>
      <c r="S458" s="50"/>
    </row>
    <row r="459" spans="1:19" s="2" customFormat="1" ht="95.25" customHeight="1" x14ac:dyDescent="0.25">
      <c r="A459" s="20"/>
      <c r="B459" s="129"/>
      <c r="C459" s="131" t="s">
        <v>47</v>
      </c>
      <c r="D459" s="99" t="s">
        <v>96</v>
      </c>
      <c r="E459" s="93">
        <v>1012.64</v>
      </c>
      <c r="F459" s="94">
        <v>5.6</v>
      </c>
      <c r="G459" s="94">
        <f>E459*F459</f>
        <v>5670.7839999999997</v>
      </c>
      <c r="H459" s="94">
        <v>92967.44</v>
      </c>
      <c r="I459" s="94"/>
      <c r="J459" s="94"/>
      <c r="K459" s="94"/>
      <c r="L459" s="94"/>
      <c r="M459" s="94"/>
      <c r="N459" s="94"/>
      <c r="O459" s="94"/>
      <c r="P459" s="220" t="s">
        <v>114</v>
      </c>
      <c r="Q459" s="73"/>
      <c r="R459" s="74"/>
      <c r="S459" s="217" t="s">
        <v>102</v>
      </c>
    </row>
    <row r="460" spans="1:19" s="2" customFormat="1" ht="38.25" customHeight="1" x14ac:dyDescent="0.25">
      <c r="A460" s="18"/>
      <c r="B460" s="122"/>
      <c r="C460" s="132" t="s">
        <v>47</v>
      </c>
      <c r="D460" s="100" t="s">
        <v>97</v>
      </c>
      <c r="E460" s="89">
        <f>SUM(E458:E459)</f>
        <v>22992.774000000005</v>
      </c>
      <c r="F460" s="89"/>
      <c r="G460" s="87">
        <f t="shared" ref="G460:H460" si="139">SUM(G458:G459)</f>
        <v>79037.246920000005</v>
      </c>
      <c r="H460" s="87">
        <f t="shared" si="139"/>
        <v>828700.55</v>
      </c>
      <c r="I460" s="87"/>
      <c r="J460" s="87"/>
      <c r="K460" s="87"/>
      <c r="L460" s="87"/>
      <c r="M460" s="87"/>
      <c r="N460" s="87"/>
      <c r="O460" s="87"/>
      <c r="P460" s="221" t="s">
        <v>115</v>
      </c>
      <c r="Q460" s="76"/>
      <c r="R460" s="77"/>
      <c r="S460" s="50"/>
    </row>
    <row r="461" spans="1:19" s="2" customFormat="1" ht="38.25" customHeight="1" x14ac:dyDescent="0.25">
      <c r="A461" s="20"/>
      <c r="B461" s="129"/>
      <c r="C461" s="131" t="s">
        <v>47</v>
      </c>
      <c r="D461" s="99" t="s">
        <v>119</v>
      </c>
      <c r="E461" s="93">
        <v>1156.43</v>
      </c>
      <c r="F461" s="94">
        <v>5.6</v>
      </c>
      <c r="G461" s="94">
        <f>E461*F461</f>
        <v>6476.0079999999998</v>
      </c>
      <c r="H461" s="94">
        <f>E461*69</f>
        <v>79793.67</v>
      </c>
      <c r="I461" s="94"/>
      <c r="J461" s="94"/>
      <c r="K461" s="94"/>
      <c r="L461" s="94"/>
      <c r="M461" s="94"/>
      <c r="N461" s="94"/>
      <c r="O461" s="94"/>
      <c r="P461" s="220" t="s">
        <v>124</v>
      </c>
      <c r="Q461" s="73"/>
      <c r="R461" s="74"/>
      <c r="S461" s="47"/>
    </row>
    <row r="462" spans="1:19" s="2" customFormat="1" ht="38.25" customHeight="1" x14ac:dyDescent="0.25">
      <c r="A462" s="18"/>
      <c r="B462" s="122"/>
      <c r="C462" s="132" t="s">
        <v>47</v>
      </c>
      <c r="D462" s="100" t="s">
        <v>120</v>
      </c>
      <c r="E462" s="89">
        <f>SUM(E460:E461)</f>
        <v>24149.204000000005</v>
      </c>
      <c r="F462" s="89"/>
      <c r="G462" s="87">
        <f t="shared" ref="G462:H462" si="140">SUM(G460:G461)</f>
        <v>85513.254920000007</v>
      </c>
      <c r="H462" s="87">
        <f t="shared" si="140"/>
        <v>908494.22000000009</v>
      </c>
      <c r="I462" s="87"/>
      <c r="J462" s="87"/>
      <c r="K462" s="87"/>
      <c r="L462" s="87"/>
      <c r="M462" s="87"/>
      <c r="N462" s="87"/>
      <c r="O462" s="87"/>
      <c r="P462" s="221" t="s">
        <v>151</v>
      </c>
      <c r="Q462" s="76"/>
      <c r="R462" s="77"/>
      <c r="S462" s="50"/>
    </row>
    <row r="463" spans="1:19" s="2" customFormat="1" ht="38.25" customHeight="1" x14ac:dyDescent="0.25">
      <c r="A463" s="20"/>
      <c r="B463" s="129"/>
      <c r="C463" s="131" t="s">
        <v>47</v>
      </c>
      <c r="D463" s="99" t="s">
        <v>139</v>
      </c>
      <c r="E463" s="93">
        <v>1354.34</v>
      </c>
      <c r="F463" s="94">
        <v>5.6</v>
      </c>
      <c r="G463" s="94">
        <f>SUM(E463*F463)</f>
        <v>7584.3039999999992</v>
      </c>
      <c r="H463" s="94">
        <f>SUM(E463*69)</f>
        <v>93449.459999999992</v>
      </c>
      <c r="I463" s="94"/>
      <c r="J463" s="94"/>
      <c r="K463" s="94"/>
      <c r="L463" s="94"/>
      <c r="M463" s="94"/>
      <c r="N463" s="94"/>
      <c r="O463" s="94"/>
      <c r="P463" s="220" t="s">
        <v>159</v>
      </c>
      <c r="Q463" s="73"/>
      <c r="R463" s="74"/>
      <c r="S463" s="47"/>
    </row>
    <row r="464" spans="1:19" s="2" customFormat="1" ht="38.25" customHeight="1" x14ac:dyDescent="0.25">
      <c r="A464" s="18"/>
      <c r="B464" s="122"/>
      <c r="C464" s="132" t="s">
        <v>47</v>
      </c>
      <c r="D464" s="100" t="s">
        <v>140</v>
      </c>
      <c r="E464" s="89">
        <f>SUM(E462:E463)</f>
        <v>25503.544000000005</v>
      </c>
      <c r="F464" s="89"/>
      <c r="G464" s="87">
        <f t="shared" ref="G464:H464" si="141">SUM(G462:G463)</f>
        <v>93097.55892000001</v>
      </c>
      <c r="H464" s="87">
        <f t="shared" si="141"/>
        <v>1001943.68</v>
      </c>
      <c r="I464" s="87"/>
      <c r="J464" s="87"/>
      <c r="K464" s="87"/>
      <c r="L464" s="87"/>
      <c r="M464" s="87"/>
      <c r="N464" s="87"/>
      <c r="O464" s="87"/>
      <c r="P464" s="221" t="s">
        <v>150</v>
      </c>
      <c r="Q464" s="76"/>
      <c r="R464" s="77"/>
      <c r="S464" s="50"/>
    </row>
    <row r="465" spans="1:19" s="2" customFormat="1" ht="38.25" customHeight="1" x14ac:dyDescent="0.25">
      <c r="A465" s="20"/>
      <c r="B465" s="129"/>
      <c r="C465" s="131" t="s">
        <v>47</v>
      </c>
      <c r="D465" s="99" t="s">
        <v>144</v>
      </c>
      <c r="E465" s="93">
        <v>1194.48</v>
      </c>
      <c r="F465" s="94">
        <v>5.6</v>
      </c>
      <c r="G465" s="94">
        <f>E465*F465</f>
        <v>6689.0879999999997</v>
      </c>
      <c r="H465" s="94">
        <f>SUM(E465*69)</f>
        <v>82419.12</v>
      </c>
      <c r="I465" s="180"/>
      <c r="K465" s="94"/>
      <c r="L465" s="94"/>
      <c r="M465" s="94"/>
      <c r="N465" s="94"/>
      <c r="O465" s="94"/>
      <c r="P465" s="220" t="s">
        <v>152</v>
      </c>
      <c r="Q465" s="73"/>
      <c r="R465" s="74"/>
      <c r="S465" s="47"/>
    </row>
    <row r="466" spans="1:19" s="2" customFormat="1" ht="38.25" customHeight="1" x14ac:dyDescent="0.25">
      <c r="A466" s="18"/>
      <c r="B466" s="122"/>
      <c r="C466" s="132" t="s">
        <v>47</v>
      </c>
      <c r="D466" s="100" t="s">
        <v>145</v>
      </c>
      <c r="E466" s="89">
        <f>SUM(E464:E465)</f>
        <v>26698.024000000005</v>
      </c>
      <c r="F466" s="89"/>
      <c r="G466" s="87">
        <f>SUM(G464:G465)</f>
        <v>99786.646920000014</v>
      </c>
      <c r="H466" s="87">
        <f>SUM(H464:H465)</f>
        <v>1084362.8</v>
      </c>
      <c r="I466" s="87"/>
      <c r="J466" s="87"/>
      <c r="K466" s="87"/>
      <c r="L466" s="87"/>
      <c r="M466" s="87"/>
      <c r="N466" s="87"/>
      <c r="O466" s="87"/>
      <c r="P466" s="221" t="s">
        <v>153</v>
      </c>
      <c r="Q466" s="76"/>
      <c r="R466" s="77"/>
      <c r="S466" s="50"/>
    </row>
    <row r="467" spans="1:19" s="2" customFormat="1" ht="38.25" customHeight="1" x14ac:dyDescent="0.25">
      <c r="A467" s="20"/>
      <c r="B467" s="129"/>
      <c r="C467" s="131" t="s">
        <v>47</v>
      </c>
      <c r="D467" s="99" t="s">
        <v>165</v>
      </c>
      <c r="E467" s="93">
        <v>1127.06</v>
      </c>
      <c r="F467" s="94">
        <v>5.6</v>
      </c>
      <c r="G467" s="94">
        <f>E467*F467</f>
        <v>6311.5359999999991</v>
      </c>
      <c r="H467" s="94">
        <f>E467*82</f>
        <v>92418.92</v>
      </c>
      <c r="I467" s="94"/>
      <c r="J467" s="94"/>
      <c r="K467" s="94"/>
      <c r="L467" s="94"/>
      <c r="M467" s="94"/>
      <c r="N467" s="94"/>
      <c r="O467" s="94"/>
      <c r="P467" s="220" t="s">
        <v>180</v>
      </c>
      <c r="Q467" s="73"/>
      <c r="R467" s="74"/>
      <c r="S467" s="47"/>
    </row>
    <row r="468" spans="1:19" s="2" customFormat="1" ht="38.25" customHeight="1" x14ac:dyDescent="0.25">
      <c r="A468" s="18"/>
      <c r="B468" s="122"/>
      <c r="C468" s="132" t="s">
        <v>47</v>
      </c>
      <c r="D468" s="100" t="s">
        <v>167</v>
      </c>
      <c r="E468" s="89">
        <f>SUM(E466:E467)</f>
        <v>27825.084000000006</v>
      </c>
      <c r="F468" s="89"/>
      <c r="G468" s="87">
        <f t="shared" ref="G468:H468" si="142">SUM(G466:G467)</f>
        <v>106098.18292000001</v>
      </c>
      <c r="H468" s="87">
        <f t="shared" si="142"/>
        <v>1176781.72</v>
      </c>
      <c r="I468" s="87"/>
      <c r="J468" s="87"/>
      <c r="K468" s="87"/>
      <c r="L468" s="87"/>
      <c r="M468" s="87"/>
      <c r="N468" s="87"/>
      <c r="O468" s="87"/>
      <c r="P468" s="221" t="s">
        <v>181</v>
      </c>
      <c r="Q468" s="76"/>
      <c r="R468" s="77"/>
      <c r="S468" s="50"/>
    </row>
    <row r="469" spans="1:19" s="2" customFormat="1" ht="38.25" customHeight="1" x14ac:dyDescent="0.25">
      <c r="A469" s="20"/>
      <c r="B469" s="129"/>
      <c r="C469" s="131" t="s">
        <v>47</v>
      </c>
      <c r="D469" s="99" t="s">
        <v>166</v>
      </c>
      <c r="E469" s="93">
        <v>1391.97</v>
      </c>
      <c r="F469" s="94">
        <v>5.6</v>
      </c>
      <c r="G469" s="94">
        <f>458.94*5.6</f>
        <v>2570.0639999999999</v>
      </c>
      <c r="H469" s="94">
        <f>458.94*82</f>
        <v>37633.08</v>
      </c>
      <c r="I469" s="94">
        <f>933.03*5.6</f>
        <v>5224.9679999999998</v>
      </c>
      <c r="J469" s="94">
        <f>933.03*82</f>
        <v>76508.459999999992</v>
      </c>
      <c r="K469" s="94"/>
      <c r="L469" s="94"/>
      <c r="M469" s="94"/>
      <c r="N469" s="94"/>
      <c r="O469" s="94"/>
      <c r="P469" s="220" t="s">
        <v>189</v>
      </c>
      <c r="Q469" s="73"/>
      <c r="R469" s="74"/>
      <c r="S469" s="47"/>
    </row>
    <row r="470" spans="1:19" s="2" customFormat="1" ht="38.25" customHeight="1" x14ac:dyDescent="0.25">
      <c r="A470" s="18"/>
      <c r="B470" s="122"/>
      <c r="C470" s="132" t="s">
        <v>47</v>
      </c>
      <c r="D470" s="100" t="s">
        <v>168</v>
      </c>
      <c r="E470" s="89">
        <f>SUM(E468:E469)</f>
        <v>29217.054000000007</v>
      </c>
      <c r="F470" s="89"/>
      <c r="G470" s="87">
        <f t="shared" ref="G470:J470" si="143">SUM(G468:G469)</f>
        <v>108668.24692000001</v>
      </c>
      <c r="H470" s="87">
        <f t="shared" si="143"/>
        <v>1214414.8</v>
      </c>
      <c r="I470" s="87">
        <f t="shared" si="143"/>
        <v>5224.9679999999998</v>
      </c>
      <c r="J470" s="87">
        <f t="shared" si="143"/>
        <v>76508.459999999992</v>
      </c>
      <c r="K470" s="87"/>
      <c r="L470" s="87"/>
      <c r="M470" s="87"/>
      <c r="N470" s="87"/>
      <c r="O470" s="87"/>
      <c r="P470" s="221" t="s">
        <v>190</v>
      </c>
      <c r="Q470" s="76"/>
      <c r="R470" s="77"/>
      <c r="S470" s="50"/>
    </row>
    <row r="471" spans="1:19" s="236" customFormat="1" ht="38.25" customHeight="1" x14ac:dyDescent="0.25">
      <c r="A471" s="230"/>
      <c r="B471" s="237"/>
      <c r="C471" s="131" t="s">
        <v>47</v>
      </c>
      <c r="D471" s="99" t="s">
        <v>195</v>
      </c>
      <c r="E471" s="231">
        <v>1490.38</v>
      </c>
      <c r="F471" s="94">
        <v>5.6</v>
      </c>
      <c r="G471" s="94">
        <f>933.03*5.6</f>
        <v>5224.9679999999998</v>
      </c>
      <c r="H471" s="94">
        <f>933.03*82</f>
        <v>76508.459999999992</v>
      </c>
      <c r="I471" s="232">
        <f>E471*5.6</f>
        <v>8346.1280000000006</v>
      </c>
      <c r="J471" s="232">
        <f>E471*82</f>
        <v>122211.16</v>
      </c>
      <c r="K471" s="232"/>
      <c r="L471" s="232"/>
      <c r="M471" s="232"/>
      <c r="N471" s="232"/>
      <c r="O471" s="232"/>
      <c r="P471" s="233">
        <v>0</v>
      </c>
      <c r="Q471" s="247"/>
      <c r="R471" s="248"/>
      <c r="S471" s="235"/>
    </row>
    <row r="472" spans="1:19" s="2" customFormat="1" ht="38.25" customHeight="1" x14ac:dyDescent="0.25">
      <c r="A472" s="18"/>
      <c r="B472" s="122"/>
      <c r="C472" s="132" t="s">
        <v>47</v>
      </c>
      <c r="D472" s="100" t="s">
        <v>196</v>
      </c>
      <c r="E472" s="89">
        <f>SUM(E470:E471)</f>
        <v>30707.434000000008</v>
      </c>
      <c r="F472" s="89"/>
      <c r="G472" s="87">
        <f>SUM(G470:G471)</f>
        <v>113893.21492</v>
      </c>
      <c r="H472" s="87">
        <f>SUM(H470:H471)</f>
        <v>1290923.26</v>
      </c>
      <c r="I472" s="87">
        <v>8346.1299999999992</v>
      </c>
      <c r="J472" s="87">
        <v>122211.16</v>
      </c>
      <c r="K472" s="87"/>
      <c r="L472" s="87"/>
      <c r="M472" s="87"/>
      <c r="N472" s="87"/>
      <c r="O472" s="87"/>
      <c r="P472" s="221" t="s">
        <v>190</v>
      </c>
      <c r="Q472" s="76"/>
      <c r="R472" s="77"/>
      <c r="S472" s="50"/>
    </row>
    <row r="473" spans="1:19" s="236" customFormat="1" ht="38.25" customHeight="1" x14ac:dyDescent="0.25">
      <c r="A473" s="230"/>
      <c r="B473" s="237"/>
      <c r="C473" s="131" t="s">
        <v>47</v>
      </c>
      <c r="D473" s="99" t="s">
        <v>201</v>
      </c>
      <c r="E473" s="231">
        <v>1353.9780000000001</v>
      </c>
      <c r="F473" s="94">
        <v>5.6</v>
      </c>
      <c r="G473" s="232">
        <f>1967.64*5.6</f>
        <v>11018.784</v>
      </c>
      <c r="H473" s="232">
        <f>1967.64*82</f>
        <v>161346.48000000001</v>
      </c>
      <c r="I473" s="232">
        <f>876.718*5.6</f>
        <v>4909.6207999999997</v>
      </c>
      <c r="J473" s="232">
        <f>876.718*82</f>
        <v>71890.876000000004</v>
      </c>
      <c r="K473" s="232"/>
      <c r="L473" s="232"/>
      <c r="M473" s="232"/>
      <c r="N473" s="232"/>
      <c r="O473" s="232"/>
      <c r="P473" s="233">
        <v>0</v>
      </c>
      <c r="Q473" s="247"/>
      <c r="R473" s="248"/>
      <c r="S473" s="235"/>
    </row>
    <row r="474" spans="1:19" s="2" customFormat="1" ht="38.25" customHeight="1" x14ac:dyDescent="0.25">
      <c r="A474" s="18"/>
      <c r="B474" s="122"/>
      <c r="C474" s="132" t="s">
        <v>47</v>
      </c>
      <c r="D474" s="100" t="s">
        <v>202</v>
      </c>
      <c r="E474" s="89">
        <f>SUM(E472:E473)</f>
        <v>32061.412000000008</v>
      </c>
      <c r="F474" s="89"/>
      <c r="G474" s="87">
        <f>SUM(G472:G473)</f>
        <v>124911.99892</v>
      </c>
      <c r="H474" s="87">
        <f>SUM(H472:H473)</f>
        <v>1452269.74</v>
      </c>
      <c r="I474" s="87">
        <v>4909.62</v>
      </c>
      <c r="J474" s="87">
        <v>71890.880000000005</v>
      </c>
      <c r="K474" s="87"/>
      <c r="L474" s="87"/>
      <c r="M474" s="87"/>
      <c r="N474" s="87"/>
      <c r="O474" s="87"/>
      <c r="P474" s="221" t="s">
        <v>190</v>
      </c>
      <c r="Q474" s="76"/>
      <c r="R474" s="77"/>
      <c r="S474" s="50"/>
    </row>
    <row r="475" spans="1:19" s="236" customFormat="1" ht="38.25" customHeight="1" x14ac:dyDescent="0.25">
      <c r="A475" s="230"/>
      <c r="B475" s="237"/>
      <c r="C475" s="131" t="s">
        <v>47</v>
      </c>
      <c r="D475" s="99" t="s">
        <v>208</v>
      </c>
      <c r="E475" s="231">
        <v>1162.8800000000001</v>
      </c>
      <c r="F475" s="94">
        <v>5.6</v>
      </c>
      <c r="G475" s="232"/>
      <c r="H475" s="232"/>
      <c r="I475" s="232">
        <f>1162.88*5.6</f>
        <v>6512.1280000000006</v>
      </c>
      <c r="J475" s="232">
        <f>1162.88*95</f>
        <v>110473.60000000001</v>
      </c>
      <c r="K475" s="232"/>
      <c r="L475" s="232"/>
      <c r="M475" s="232"/>
      <c r="N475" s="232"/>
      <c r="O475" s="232"/>
      <c r="P475" s="233"/>
      <c r="Q475" s="247"/>
      <c r="R475" s="248"/>
      <c r="S475" s="235"/>
    </row>
    <row r="476" spans="1:19" s="2" customFormat="1" ht="38.25" customHeight="1" x14ac:dyDescent="0.25">
      <c r="A476" s="18"/>
      <c r="B476" s="122"/>
      <c r="C476" s="132" t="s">
        <v>47</v>
      </c>
      <c r="D476" s="100" t="s">
        <v>209</v>
      </c>
      <c r="E476" s="89">
        <f>SUM(E474:E475)</f>
        <v>33224.292000000009</v>
      </c>
      <c r="F476" s="89"/>
      <c r="G476" s="87">
        <f>SUM(G474:G475)</f>
        <v>124911.99892</v>
      </c>
      <c r="H476" s="87">
        <f>SUM(H474:H475)</f>
        <v>1452269.74</v>
      </c>
      <c r="I476" s="87">
        <f>SUM(I474:I475)</f>
        <v>11421.748</v>
      </c>
      <c r="J476" s="87">
        <f>SUM(J474:J475)</f>
        <v>182364.48</v>
      </c>
      <c r="K476" s="87"/>
      <c r="L476" s="87"/>
      <c r="M476" s="87"/>
      <c r="N476" s="87"/>
      <c r="O476" s="87"/>
      <c r="P476" s="221" t="s">
        <v>190</v>
      </c>
      <c r="Q476" s="76"/>
      <c r="R476" s="77"/>
      <c r="S476" s="50"/>
    </row>
    <row r="477" spans="1:19" s="236" customFormat="1" ht="38.25" customHeight="1" x14ac:dyDescent="0.25">
      <c r="A477" s="230"/>
      <c r="B477" s="237"/>
      <c r="C477" s="131" t="s">
        <v>47</v>
      </c>
      <c r="D477" s="99" t="s">
        <v>215</v>
      </c>
      <c r="E477" s="231">
        <v>1451.35</v>
      </c>
      <c r="F477" s="94">
        <v>5.6</v>
      </c>
      <c r="G477" s="232">
        <f>1586.418*5.6</f>
        <v>8883.9407999999985</v>
      </c>
      <c r="H477" s="232">
        <f>71890.88+709.7*95</f>
        <v>139312.38</v>
      </c>
      <c r="I477" s="232">
        <f>1904.53*5.6</f>
        <v>10665.367999999999</v>
      </c>
      <c r="J477" s="232">
        <f>1904.53*95</f>
        <v>180930.35</v>
      </c>
      <c r="K477" s="232"/>
      <c r="L477" s="232"/>
      <c r="M477" s="232"/>
      <c r="N477" s="232"/>
      <c r="O477" s="232"/>
      <c r="P477" s="233"/>
      <c r="Q477" s="247"/>
      <c r="R477" s="248"/>
      <c r="S477" s="235"/>
    </row>
    <row r="478" spans="1:19" s="2" customFormat="1" ht="38.25" customHeight="1" x14ac:dyDescent="0.25">
      <c r="A478" s="18"/>
      <c r="B478" s="122"/>
      <c r="C478" s="132" t="s">
        <v>47</v>
      </c>
      <c r="D478" s="100" t="s">
        <v>216</v>
      </c>
      <c r="E478" s="89">
        <f>SUM(E476:E477)</f>
        <v>34675.642000000007</v>
      </c>
      <c r="F478" s="89"/>
      <c r="G478" s="87">
        <f>SUM(G476:G477)</f>
        <v>133795.93971999999</v>
      </c>
      <c r="H478" s="87">
        <f>SUM(H476:H477)</f>
        <v>1591582.12</v>
      </c>
      <c r="I478" s="87">
        <v>10665.37</v>
      </c>
      <c r="J478" s="87">
        <v>180930.35</v>
      </c>
      <c r="K478" s="87"/>
      <c r="L478" s="87"/>
      <c r="M478" s="87"/>
      <c r="N478" s="87"/>
      <c r="O478" s="87"/>
      <c r="P478" s="221" t="s">
        <v>190</v>
      </c>
      <c r="Q478" s="76"/>
      <c r="R478" s="77"/>
      <c r="S478" s="50"/>
    </row>
    <row r="479" spans="1:19" s="2" customFormat="1" ht="38.25" customHeight="1" x14ac:dyDescent="0.25">
      <c r="A479" s="20"/>
      <c r="B479" s="129"/>
      <c r="C479" s="131" t="s">
        <v>47</v>
      </c>
      <c r="D479" s="99" t="s">
        <v>218</v>
      </c>
      <c r="E479" s="93">
        <v>1501.8</v>
      </c>
      <c r="F479" s="94">
        <v>5.6</v>
      </c>
      <c r="G479" s="94"/>
      <c r="H479" s="94"/>
      <c r="I479" s="94">
        <f>1501.8*5.6+(1996.62+1977.7)</f>
        <v>12384.4</v>
      </c>
      <c r="J479" s="94">
        <f>1501.8*95+(33871.3+33550.2)</f>
        <v>210092.5</v>
      </c>
      <c r="K479" s="94"/>
      <c r="L479" s="94"/>
      <c r="M479" s="94"/>
      <c r="N479" s="94"/>
      <c r="O479" s="94"/>
      <c r="P479" s="220"/>
      <c r="Q479" s="73"/>
      <c r="R479" s="74"/>
      <c r="S479" s="47"/>
    </row>
    <row r="480" spans="1:19" s="2" customFormat="1" ht="38.25" customHeight="1" x14ac:dyDescent="0.25">
      <c r="A480" s="20"/>
      <c r="B480" s="129"/>
      <c r="C480" s="131"/>
      <c r="D480" s="99" t="s">
        <v>220</v>
      </c>
      <c r="E480" s="93">
        <v>5.82</v>
      </c>
      <c r="F480" s="93"/>
      <c r="G480" s="94"/>
      <c r="H480" s="94"/>
      <c r="I480" s="94"/>
      <c r="J480" s="94"/>
      <c r="K480" s="94"/>
      <c r="L480" s="94"/>
      <c r="M480" s="94"/>
      <c r="N480" s="94"/>
      <c r="O480" s="94"/>
      <c r="P480" s="220"/>
      <c r="Q480" s="73"/>
      <c r="R480" s="74"/>
      <c r="S480" s="47"/>
    </row>
    <row r="481" spans="1:23" s="2" customFormat="1" ht="91.5" customHeight="1" x14ac:dyDescent="0.25">
      <c r="A481" s="18"/>
      <c r="B481" s="122"/>
      <c r="C481" s="132" t="s">
        <v>47</v>
      </c>
      <c r="D481" s="100" t="s">
        <v>219</v>
      </c>
      <c r="E481" s="89">
        <f>SUM(E478:E479:E480)</f>
        <v>36183.26200000001</v>
      </c>
      <c r="F481" s="89"/>
      <c r="G481" s="87">
        <f>133795.94-(1996.62+1977.7)</f>
        <v>129821.62</v>
      </c>
      <c r="H481" s="87">
        <f>1591582.12-(33871.3+33550.2)</f>
        <v>1524160.62</v>
      </c>
      <c r="I481" s="87">
        <f>SUM(I478:I479)</f>
        <v>23049.77</v>
      </c>
      <c r="J481" s="87">
        <f>SUM(J478:J479)</f>
        <v>391022.85</v>
      </c>
      <c r="K481" s="87"/>
      <c r="L481" s="254" t="s">
        <v>226</v>
      </c>
      <c r="M481" s="87"/>
      <c r="N481" s="87"/>
      <c r="O481" s="87"/>
      <c r="P481" s="221" t="s">
        <v>190</v>
      </c>
      <c r="Q481" s="76"/>
      <c r="R481" s="77"/>
      <c r="S481" s="50"/>
    </row>
    <row r="482" spans="1:23" s="236" customFormat="1" ht="91.5" customHeight="1" x14ac:dyDescent="0.25">
      <c r="A482" s="230"/>
      <c r="B482" s="237"/>
      <c r="C482" s="131" t="s">
        <v>47</v>
      </c>
      <c r="D482" s="99" t="s">
        <v>227</v>
      </c>
      <c r="E482" s="231">
        <v>1303.7</v>
      </c>
      <c r="F482" s="94">
        <v>5.6</v>
      </c>
      <c r="G482" s="232">
        <f>23049.77+944.1*5.6-(1996.62+1977.7)</f>
        <v>24362.41</v>
      </c>
      <c r="H482" s="232">
        <f>391022.85+944.1*95-(33871.3+33550.2)-15319.11</f>
        <v>397971.74</v>
      </c>
      <c r="I482" s="232">
        <f>359.6*5.6+1996.62+1977.7</f>
        <v>5988.08</v>
      </c>
      <c r="J482" s="232">
        <f>359.6*95+33871.3+33550.2+15319.11</f>
        <v>116902.61</v>
      </c>
      <c r="K482" s="232"/>
      <c r="L482" s="255" t="s">
        <v>230</v>
      </c>
      <c r="M482" s="232"/>
      <c r="N482" s="232"/>
      <c r="O482" s="232"/>
      <c r="P482" s="233" t="s">
        <v>233</v>
      </c>
      <c r="Q482" s="247"/>
      <c r="R482" s="248"/>
      <c r="S482" s="235"/>
    </row>
    <row r="483" spans="1:23" s="2" customFormat="1" ht="91.5" customHeight="1" x14ac:dyDescent="0.25">
      <c r="A483" s="18"/>
      <c r="B483" s="122"/>
      <c r="C483" s="132" t="s">
        <v>47</v>
      </c>
      <c r="D483" s="100" t="s">
        <v>228</v>
      </c>
      <c r="E483" s="89">
        <f>SUM(E481:E482)</f>
        <v>37486.962000000007</v>
      </c>
      <c r="F483" s="89"/>
      <c r="G483" s="87">
        <f>SUM(G481:G482)</f>
        <v>154184.03</v>
      </c>
      <c r="H483" s="87">
        <f>SUM(H481:H482)</f>
        <v>1922132.36</v>
      </c>
      <c r="I483" s="87">
        <f>359.6*5.6</f>
        <v>2013.76</v>
      </c>
      <c r="J483" s="87">
        <f>359.6*95</f>
        <v>34162</v>
      </c>
      <c r="K483" s="87"/>
      <c r="L483" s="254"/>
      <c r="M483" s="87"/>
      <c r="N483" s="87"/>
      <c r="O483" s="87"/>
      <c r="P483" s="221" t="s">
        <v>239</v>
      </c>
      <c r="Q483" s="76"/>
      <c r="R483" s="77"/>
      <c r="S483" s="50"/>
    </row>
    <row r="484" spans="1:23" x14ac:dyDescent="0.25">
      <c r="A484" s="23"/>
      <c r="B484" s="23"/>
      <c r="C484" s="23"/>
      <c r="D484" s="36"/>
      <c r="E484" s="53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72"/>
      <c r="S484" s="55"/>
    </row>
    <row r="485" spans="1:23" ht="26.25" customHeight="1" x14ac:dyDescent="0.25">
      <c r="A485" s="16"/>
      <c r="B485" s="115" t="s">
        <v>40</v>
      </c>
      <c r="C485" s="136" t="s">
        <v>48</v>
      </c>
      <c r="D485" s="160">
        <v>2011</v>
      </c>
      <c r="E485" s="161">
        <v>1743.89</v>
      </c>
      <c r="F485" s="141">
        <v>3.18</v>
      </c>
      <c r="G485" s="142">
        <f>E485*F485</f>
        <v>5545.570200000001</v>
      </c>
      <c r="H485" s="142">
        <v>5231.67</v>
      </c>
      <c r="I485" s="92"/>
      <c r="J485" s="92"/>
      <c r="K485" s="84"/>
      <c r="L485" s="119"/>
      <c r="M485" s="119"/>
      <c r="N485" s="119"/>
      <c r="O485" s="119"/>
      <c r="P485" s="84">
        <v>0</v>
      </c>
      <c r="Q485" s="38"/>
      <c r="R485" s="75"/>
      <c r="S485" s="51"/>
    </row>
    <row r="486" spans="1:23" x14ac:dyDescent="0.25">
      <c r="A486" s="16"/>
      <c r="B486" s="119"/>
      <c r="C486" s="136" t="s">
        <v>48</v>
      </c>
      <c r="D486" s="160">
        <v>2012</v>
      </c>
      <c r="E486" s="161">
        <v>3006.1</v>
      </c>
      <c r="F486" s="141">
        <v>3.18</v>
      </c>
      <c r="G486" s="142">
        <f>E486*F486</f>
        <v>9559.398000000001</v>
      </c>
      <c r="H486" s="142">
        <v>27054.9</v>
      </c>
      <c r="I486" s="92"/>
      <c r="J486" s="92"/>
      <c r="K486" s="84"/>
      <c r="L486" s="119"/>
      <c r="M486" s="119"/>
      <c r="N486" s="119"/>
      <c r="O486" s="119"/>
      <c r="P486" s="84">
        <v>0</v>
      </c>
      <c r="Q486" s="38"/>
      <c r="R486" s="75"/>
      <c r="S486" s="51"/>
    </row>
    <row r="487" spans="1:23" ht="40.5" customHeight="1" x14ac:dyDescent="0.25">
      <c r="A487" s="18"/>
      <c r="B487" s="122"/>
      <c r="C487" s="132" t="s">
        <v>48</v>
      </c>
      <c r="D487" s="96" t="s">
        <v>25</v>
      </c>
      <c r="E487" s="89">
        <f>SUM(E485:E486)</f>
        <v>4749.99</v>
      </c>
      <c r="F487" s="89"/>
      <c r="G487" s="87">
        <f t="shared" ref="G487:H487" si="144">SUM(G485:G486)</f>
        <v>15104.968200000003</v>
      </c>
      <c r="H487" s="87">
        <f t="shared" si="144"/>
        <v>32286.57</v>
      </c>
      <c r="I487" s="87"/>
      <c r="J487" s="87"/>
      <c r="K487" s="87"/>
      <c r="L487" s="122"/>
      <c r="M487" s="122"/>
      <c r="N487" s="122"/>
      <c r="O487" s="122"/>
      <c r="P487" s="87">
        <v>0</v>
      </c>
      <c r="Q487" s="76"/>
      <c r="R487" s="77"/>
      <c r="S487" s="50"/>
    </row>
    <row r="488" spans="1:23" x14ac:dyDescent="0.25">
      <c r="A488" s="16"/>
      <c r="B488" s="119"/>
      <c r="C488" s="136" t="s">
        <v>48</v>
      </c>
      <c r="D488" s="160">
        <v>2013</v>
      </c>
      <c r="E488" s="161">
        <v>3371.7</v>
      </c>
      <c r="F488" s="141">
        <v>3.18</v>
      </c>
      <c r="G488" s="94">
        <f>E488*F488</f>
        <v>10722.005999999999</v>
      </c>
      <c r="H488" s="94">
        <v>50575.5</v>
      </c>
      <c r="I488" s="84"/>
      <c r="J488" s="84"/>
      <c r="K488" s="84"/>
      <c r="L488" s="119"/>
      <c r="M488" s="119"/>
      <c r="N488" s="119"/>
      <c r="O488" s="119"/>
      <c r="P488" s="84">
        <v>0</v>
      </c>
      <c r="Q488" s="38"/>
      <c r="R488" s="75"/>
      <c r="S488" s="51"/>
    </row>
    <row r="489" spans="1:23" ht="39" customHeight="1" x14ac:dyDescent="0.25">
      <c r="A489" s="18"/>
      <c r="B489" s="122"/>
      <c r="C489" s="132" t="s">
        <v>48</v>
      </c>
      <c r="D489" s="96" t="s">
        <v>38</v>
      </c>
      <c r="E489" s="89">
        <f>SUM(E487:E488)</f>
        <v>8121.69</v>
      </c>
      <c r="F489" s="89"/>
      <c r="G489" s="87">
        <f t="shared" ref="G489:H489" si="145">SUM(G487:G488)</f>
        <v>25826.974200000004</v>
      </c>
      <c r="H489" s="87">
        <f t="shared" si="145"/>
        <v>82862.070000000007</v>
      </c>
      <c r="I489" s="87"/>
      <c r="J489" s="87"/>
      <c r="K489" s="87"/>
      <c r="L489" s="122"/>
      <c r="M489" s="122"/>
      <c r="N489" s="122"/>
      <c r="O489" s="122"/>
      <c r="P489" s="87">
        <v>0</v>
      </c>
      <c r="Q489" s="76"/>
      <c r="R489" s="77"/>
      <c r="S489" s="50"/>
    </row>
    <row r="490" spans="1:23" x14ac:dyDescent="0.25">
      <c r="A490" s="16"/>
      <c r="B490" s="119"/>
      <c r="C490" s="136" t="s">
        <v>48</v>
      </c>
      <c r="D490" s="160">
        <v>2014</v>
      </c>
      <c r="E490" s="161">
        <v>3593.92</v>
      </c>
      <c r="F490" s="141">
        <v>3.18</v>
      </c>
      <c r="G490" s="94">
        <f>E490*F490</f>
        <v>11428.6656</v>
      </c>
      <c r="H490" s="94">
        <v>79066.240000000005</v>
      </c>
      <c r="I490" s="84"/>
      <c r="J490" s="84"/>
      <c r="K490" s="84"/>
      <c r="L490" s="119"/>
      <c r="M490" s="119"/>
      <c r="N490" s="119"/>
      <c r="O490" s="119"/>
      <c r="P490" s="84">
        <v>0</v>
      </c>
      <c r="Q490" s="38"/>
      <c r="R490" s="75"/>
      <c r="S490" s="51"/>
    </row>
    <row r="491" spans="1:23" ht="39" customHeight="1" x14ac:dyDescent="0.25">
      <c r="A491" s="18"/>
      <c r="B491" s="122"/>
      <c r="C491" s="132" t="s">
        <v>48</v>
      </c>
      <c r="D491" s="96" t="s">
        <v>24</v>
      </c>
      <c r="E491" s="89">
        <f>SUM(E489:E490)</f>
        <v>11715.61</v>
      </c>
      <c r="F491" s="89"/>
      <c r="G491" s="87">
        <f t="shared" ref="G491:H491" si="146">SUM(G489:G490)</f>
        <v>37255.639800000004</v>
      </c>
      <c r="H491" s="87">
        <f t="shared" si="146"/>
        <v>161928.31</v>
      </c>
      <c r="I491" s="87"/>
      <c r="J491" s="87"/>
      <c r="K491" s="87"/>
      <c r="L491" s="122"/>
      <c r="M491" s="122"/>
      <c r="N491" s="122"/>
      <c r="O491" s="122"/>
      <c r="P491" s="87">
        <v>0</v>
      </c>
      <c r="Q491" s="76"/>
      <c r="R491" s="77"/>
      <c r="S491" s="50"/>
    </row>
    <row r="492" spans="1:23" x14ac:dyDescent="0.25">
      <c r="A492" s="16"/>
      <c r="B492" s="119"/>
      <c r="C492" s="136" t="s">
        <v>48</v>
      </c>
      <c r="D492" s="160">
        <v>2015</v>
      </c>
      <c r="E492" s="161">
        <v>3972.66</v>
      </c>
      <c r="F492" s="141">
        <v>3.37</v>
      </c>
      <c r="G492" s="94">
        <f>E492*F492</f>
        <v>13387.8642</v>
      </c>
      <c r="H492" s="94">
        <v>111234.48</v>
      </c>
      <c r="I492" s="84"/>
      <c r="J492" s="84"/>
      <c r="K492" s="84"/>
      <c r="L492" s="119"/>
      <c r="M492" s="119"/>
      <c r="N492" s="119"/>
      <c r="O492" s="119"/>
      <c r="P492" s="84">
        <v>0</v>
      </c>
      <c r="Q492" s="38"/>
      <c r="R492" s="75"/>
      <c r="S492" s="51"/>
    </row>
    <row r="493" spans="1:23" ht="41.25" customHeight="1" x14ac:dyDescent="0.25">
      <c r="A493" s="18"/>
      <c r="B493" s="122"/>
      <c r="C493" s="132" t="s">
        <v>48</v>
      </c>
      <c r="D493" s="96" t="s">
        <v>26</v>
      </c>
      <c r="E493" s="89">
        <f>SUM(E491:E492)</f>
        <v>15688.27</v>
      </c>
      <c r="F493" s="89"/>
      <c r="G493" s="87">
        <f t="shared" ref="G493:H493" si="147">SUM(G491:G492)</f>
        <v>50643.504000000001</v>
      </c>
      <c r="H493" s="87">
        <f t="shared" si="147"/>
        <v>273162.78999999998</v>
      </c>
      <c r="I493" s="87"/>
      <c r="J493" s="87"/>
      <c r="K493" s="87"/>
      <c r="L493" s="122"/>
      <c r="M493" s="122"/>
      <c r="N493" s="122"/>
      <c r="O493" s="122"/>
      <c r="P493" s="87">
        <v>0</v>
      </c>
      <c r="Q493" s="76"/>
      <c r="R493" s="77"/>
      <c r="S493" s="50"/>
    </row>
    <row r="494" spans="1:23" x14ac:dyDescent="0.25">
      <c r="A494" s="16"/>
      <c r="B494" s="119"/>
      <c r="C494" s="136" t="s">
        <v>48</v>
      </c>
      <c r="D494" s="99" t="s">
        <v>29</v>
      </c>
      <c r="E494" s="137">
        <v>800</v>
      </c>
      <c r="F494" s="141">
        <v>3.37</v>
      </c>
      <c r="G494" s="94">
        <f>E494*F494</f>
        <v>2696</v>
      </c>
      <c r="H494" s="94">
        <v>28800</v>
      </c>
      <c r="I494" s="84"/>
      <c r="J494" s="84"/>
      <c r="K494" s="84"/>
      <c r="L494" s="119"/>
      <c r="M494" s="119"/>
      <c r="N494" s="119"/>
      <c r="O494" s="119"/>
      <c r="P494" s="84">
        <v>0</v>
      </c>
      <c r="Q494" s="38"/>
      <c r="R494" s="75"/>
      <c r="S494" s="51"/>
    </row>
    <row r="495" spans="1:23" ht="38.25" x14ac:dyDescent="0.25">
      <c r="A495" s="18"/>
      <c r="B495" s="122"/>
      <c r="C495" s="132" t="s">
        <v>48</v>
      </c>
      <c r="D495" s="100" t="s">
        <v>30</v>
      </c>
      <c r="E495" s="89">
        <f>SUM(E493:E494)</f>
        <v>16488.27</v>
      </c>
      <c r="F495" s="89"/>
      <c r="G495" s="87">
        <f t="shared" ref="G495:H495" si="148">SUM(G493:G494)</f>
        <v>53339.504000000001</v>
      </c>
      <c r="H495" s="87">
        <f t="shared" si="148"/>
        <v>301962.78999999998</v>
      </c>
      <c r="I495" s="87"/>
      <c r="J495" s="87"/>
      <c r="K495" s="87"/>
      <c r="L495" s="122"/>
      <c r="M495" s="122"/>
      <c r="N495" s="122"/>
      <c r="O495" s="122"/>
      <c r="P495" s="87">
        <v>0</v>
      </c>
      <c r="Q495" s="76"/>
      <c r="R495" s="77"/>
      <c r="S495" s="50"/>
      <c r="W495" s="2"/>
    </row>
    <row r="496" spans="1:23" x14ac:dyDescent="0.25">
      <c r="A496" s="16"/>
      <c r="B496" s="119"/>
      <c r="C496" s="136" t="s">
        <v>48</v>
      </c>
      <c r="D496" s="99" t="s">
        <v>31</v>
      </c>
      <c r="E496" s="137">
        <v>755.76</v>
      </c>
      <c r="F496" s="141">
        <v>3.37</v>
      </c>
      <c r="G496" s="94">
        <f>E496*F496</f>
        <v>2546.9112</v>
      </c>
      <c r="H496" s="94">
        <v>27207.360000000001</v>
      </c>
      <c r="I496" s="84"/>
      <c r="J496" s="84"/>
      <c r="K496" s="84"/>
      <c r="L496" s="119"/>
      <c r="M496" s="119"/>
      <c r="N496" s="119"/>
      <c r="O496" s="119"/>
      <c r="P496" s="84">
        <v>0</v>
      </c>
      <c r="Q496" s="38"/>
      <c r="R496" s="75"/>
      <c r="S496" s="51"/>
    </row>
    <row r="497" spans="1:19" ht="38.25" x14ac:dyDescent="0.25">
      <c r="A497" s="16"/>
      <c r="B497" s="119"/>
      <c r="C497" s="136" t="s">
        <v>54</v>
      </c>
      <c r="D497" s="99"/>
      <c r="E497" s="137">
        <v>27.38</v>
      </c>
      <c r="F497" s="84">
        <v>0</v>
      </c>
      <c r="G497" s="94">
        <v>0</v>
      </c>
      <c r="H497" s="94">
        <v>0</v>
      </c>
      <c r="I497" s="84"/>
      <c r="J497" s="84"/>
      <c r="K497" s="84"/>
      <c r="L497" s="119"/>
      <c r="M497" s="119"/>
      <c r="N497" s="119"/>
      <c r="O497" s="119"/>
      <c r="P497" s="84"/>
      <c r="Q497" s="38"/>
      <c r="R497" s="75"/>
      <c r="S497" s="51"/>
    </row>
    <row r="498" spans="1:19" ht="39" customHeight="1" x14ac:dyDescent="0.25">
      <c r="A498" s="18"/>
      <c r="B498" s="122"/>
      <c r="C498" s="132" t="s">
        <v>48</v>
      </c>
      <c r="D498" s="100" t="s">
        <v>32</v>
      </c>
      <c r="E498" s="89">
        <f>SUM(E495:E497)</f>
        <v>17271.41</v>
      </c>
      <c r="F498" s="89"/>
      <c r="G498" s="87">
        <f t="shared" ref="G498:H498" si="149">SUM(G495:G497)</f>
        <v>55886.415200000003</v>
      </c>
      <c r="H498" s="87">
        <f t="shared" si="149"/>
        <v>329170.14999999997</v>
      </c>
      <c r="I498" s="87"/>
      <c r="J498" s="87"/>
      <c r="K498" s="87"/>
      <c r="L498" s="122"/>
      <c r="M498" s="122"/>
      <c r="N498" s="122"/>
      <c r="O498" s="122"/>
      <c r="P498" s="87">
        <v>0</v>
      </c>
      <c r="Q498" s="76"/>
      <c r="R498" s="77"/>
      <c r="S498" s="50"/>
    </row>
    <row r="499" spans="1:19" x14ac:dyDescent="0.25">
      <c r="A499" s="16"/>
      <c r="B499" s="119"/>
      <c r="C499" s="136" t="s">
        <v>48</v>
      </c>
      <c r="D499" s="99" t="s">
        <v>33</v>
      </c>
      <c r="E499" s="137">
        <v>852.64</v>
      </c>
      <c r="F499" s="141">
        <v>3.37</v>
      </c>
      <c r="G499" s="94">
        <f>E499*F499</f>
        <v>2873.3968</v>
      </c>
      <c r="H499" s="94">
        <v>30695.040000000001</v>
      </c>
      <c r="I499" s="84"/>
      <c r="J499" s="84"/>
      <c r="K499" s="84"/>
      <c r="L499" s="119"/>
      <c r="M499" s="119"/>
      <c r="N499" s="119"/>
      <c r="O499" s="119"/>
      <c r="P499" s="84">
        <v>178807.2</v>
      </c>
      <c r="Q499" s="38"/>
      <c r="R499" s="75"/>
      <c r="S499" s="51"/>
    </row>
    <row r="500" spans="1:19" ht="38.25" x14ac:dyDescent="0.25">
      <c r="A500" s="18"/>
      <c r="B500" s="122"/>
      <c r="C500" s="132" t="s">
        <v>48</v>
      </c>
      <c r="D500" s="100" t="s">
        <v>35</v>
      </c>
      <c r="E500" s="89">
        <f>SUM(E498:E499)</f>
        <v>18124.05</v>
      </c>
      <c r="F500" s="89"/>
      <c r="G500" s="87">
        <f t="shared" ref="G500:H500" si="150">SUM(G498:G499)</f>
        <v>58759.812000000005</v>
      </c>
      <c r="H500" s="87">
        <f t="shared" si="150"/>
        <v>359865.18999999994</v>
      </c>
      <c r="I500" s="87"/>
      <c r="J500" s="87"/>
      <c r="K500" s="87"/>
      <c r="L500" s="122"/>
      <c r="M500" s="122"/>
      <c r="N500" s="122"/>
      <c r="O500" s="122"/>
      <c r="P500" s="87">
        <v>178807.2</v>
      </c>
      <c r="Q500" s="76"/>
      <c r="R500" s="77"/>
      <c r="S500" s="50"/>
    </row>
    <row r="501" spans="1:19" x14ac:dyDescent="0.25">
      <c r="A501" s="16"/>
      <c r="B501" s="119"/>
      <c r="C501" s="136" t="s">
        <v>48</v>
      </c>
      <c r="D501" s="99" t="s">
        <v>34</v>
      </c>
      <c r="E501" s="137">
        <v>865.5</v>
      </c>
      <c r="F501" s="141">
        <v>3.37</v>
      </c>
      <c r="G501" s="94">
        <f>E501*F501</f>
        <v>2916.7350000000001</v>
      </c>
      <c r="H501" s="94">
        <v>31158</v>
      </c>
      <c r="I501" s="84"/>
      <c r="J501" s="84"/>
      <c r="K501" s="84"/>
      <c r="L501" s="119"/>
      <c r="M501" s="119"/>
      <c r="N501" s="119"/>
      <c r="O501" s="119"/>
      <c r="P501" s="84">
        <v>0</v>
      </c>
      <c r="Q501" s="38"/>
      <c r="R501" s="75"/>
      <c r="S501" s="51"/>
    </row>
    <row r="502" spans="1:19" ht="38.25" x14ac:dyDescent="0.25">
      <c r="A502" s="18"/>
      <c r="B502" s="122"/>
      <c r="C502" s="132" t="s">
        <v>48</v>
      </c>
      <c r="D502" s="100" t="s">
        <v>36</v>
      </c>
      <c r="E502" s="89">
        <f>SUM(E500:E501)</f>
        <v>18989.55</v>
      </c>
      <c r="F502" s="89"/>
      <c r="G502" s="87">
        <f t="shared" ref="G502:H502" si="151">SUM(G500:G501)</f>
        <v>61676.547000000006</v>
      </c>
      <c r="H502" s="87">
        <f t="shared" si="151"/>
        <v>391023.18999999994</v>
      </c>
      <c r="I502" s="87"/>
      <c r="J502" s="87"/>
      <c r="K502" s="87"/>
      <c r="L502" s="122"/>
      <c r="M502" s="122"/>
      <c r="N502" s="122"/>
      <c r="O502" s="122"/>
      <c r="P502" s="87">
        <v>178807.2</v>
      </c>
      <c r="Q502" s="76"/>
      <c r="R502" s="77"/>
      <c r="S502" s="50"/>
    </row>
    <row r="503" spans="1:19" s="2" customFormat="1" x14ac:dyDescent="0.25">
      <c r="A503" s="20"/>
      <c r="B503" s="129"/>
      <c r="C503" s="131" t="s">
        <v>48</v>
      </c>
      <c r="D503" s="99" t="s">
        <v>57</v>
      </c>
      <c r="E503" s="93">
        <v>766.68</v>
      </c>
      <c r="F503" s="94">
        <v>3.37</v>
      </c>
      <c r="G503" s="94">
        <f>E503*F503</f>
        <v>2583.7116000000001</v>
      </c>
      <c r="H503" s="94">
        <v>30667.200000000001</v>
      </c>
      <c r="I503" s="94"/>
      <c r="J503" s="94"/>
      <c r="K503" s="94"/>
      <c r="L503" s="129"/>
      <c r="M503" s="129"/>
      <c r="N503" s="129"/>
      <c r="O503" s="129"/>
      <c r="P503" s="94">
        <v>0</v>
      </c>
      <c r="Q503" s="73"/>
      <c r="R503" s="74"/>
      <c r="S503" s="47"/>
    </row>
    <row r="504" spans="1:19" s="2" customFormat="1" ht="38.25" x14ac:dyDescent="0.25">
      <c r="A504" s="18"/>
      <c r="B504" s="122"/>
      <c r="C504" s="132" t="s">
        <v>48</v>
      </c>
      <c r="D504" s="100" t="s">
        <v>58</v>
      </c>
      <c r="E504" s="89">
        <f>SUM(E502:E503)</f>
        <v>19756.23</v>
      </c>
      <c r="F504" s="89"/>
      <c r="G504" s="87">
        <f t="shared" ref="G504:H504" si="152">SUM(G502:G503)</f>
        <v>64260.258600000008</v>
      </c>
      <c r="H504" s="87">
        <f t="shared" si="152"/>
        <v>421690.38999999996</v>
      </c>
      <c r="I504" s="87"/>
      <c r="J504" s="87"/>
      <c r="K504" s="87"/>
      <c r="L504" s="122"/>
      <c r="M504" s="122"/>
      <c r="N504" s="122"/>
      <c r="O504" s="122"/>
      <c r="P504" s="87">
        <v>178807.2</v>
      </c>
      <c r="Q504" s="76"/>
      <c r="R504" s="77"/>
      <c r="S504" s="50"/>
    </row>
    <row r="505" spans="1:19" s="2" customFormat="1" x14ac:dyDescent="0.25">
      <c r="A505" s="20"/>
      <c r="B505" s="129"/>
      <c r="C505" s="131" t="s">
        <v>48</v>
      </c>
      <c r="D505" s="99" t="s">
        <v>61</v>
      </c>
      <c r="E505" s="93">
        <v>927.08</v>
      </c>
      <c r="F505" s="94">
        <v>3.37</v>
      </c>
      <c r="G505" s="94">
        <f>E505*F505</f>
        <v>3124.2596000000003</v>
      </c>
      <c r="H505" s="94">
        <v>37083.199999999997</v>
      </c>
      <c r="I505" s="94"/>
      <c r="J505" s="94"/>
      <c r="K505" s="94"/>
      <c r="L505" s="129"/>
      <c r="M505" s="129"/>
      <c r="N505" s="129"/>
      <c r="O505" s="129"/>
      <c r="P505" s="94">
        <v>54089.37</v>
      </c>
      <c r="Q505" s="73"/>
      <c r="R505" s="74"/>
      <c r="S505" s="47"/>
    </row>
    <row r="506" spans="1:19" s="2" customFormat="1" ht="39.75" customHeight="1" x14ac:dyDescent="0.25">
      <c r="A506" s="18"/>
      <c r="B506" s="122"/>
      <c r="C506" s="132" t="s">
        <v>48</v>
      </c>
      <c r="D506" s="100" t="s">
        <v>63</v>
      </c>
      <c r="E506" s="89">
        <f>SUM(E504:E505)</f>
        <v>20683.310000000001</v>
      </c>
      <c r="F506" s="89"/>
      <c r="G506" s="87">
        <f t="shared" ref="G506:H506" si="153">SUM(G504:G505)</f>
        <v>67384.518200000006</v>
      </c>
      <c r="H506" s="87">
        <f t="shared" si="153"/>
        <v>458773.58999999997</v>
      </c>
      <c r="I506" s="87"/>
      <c r="J506" s="87"/>
      <c r="K506" s="87"/>
      <c r="L506" s="122"/>
      <c r="M506" s="122"/>
      <c r="N506" s="122"/>
      <c r="O506" s="122"/>
      <c r="P506" s="87">
        <f>SUM(P504:P505)</f>
        <v>232896.57</v>
      </c>
      <c r="Q506" s="76"/>
      <c r="R506" s="77"/>
      <c r="S506" s="50"/>
    </row>
    <row r="507" spans="1:19" s="2" customFormat="1" ht="16.5" customHeight="1" x14ac:dyDescent="0.25">
      <c r="A507" s="20"/>
      <c r="B507" s="129"/>
      <c r="C507" s="131" t="s">
        <v>48</v>
      </c>
      <c r="D507" s="99" t="s">
        <v>64</v>
      </c>
      <c r="E507" s="93">
        <v>956.84</v>
      </c>
      <c r="F507" s="93">
        <v>3.37</v>
      </c>
      <c r="G507" s="94">
        <f>E507*F507</f>
        <v>3224.5508000000004</v>
      </c>
      <c r="H507" s="94">
        <v>38273.599999999999</v>
      </c>
      <c r="I507" s="94"/>
      <c r="J507" s="94"/>
      <c r="K507" s="94"/>
      <c r="L507" s="129"/>
      <c r="M507" s="129"/>
      <c r="N507" s="129"/>
      <c r="O507" s="129"/>
      <c r="P507" s="94">
        <v>0</v>
      </c>
      <c r="Q507" s="73"/>
      <c r="R507" s="74"/>
      <c r="S507" s="47"/>
    </row>
    <row r="508" spans="1:19" s="2" customFormat="1" ht="39.75" customHeight="1" x14ac:dyDescent="0.25">
      <c r="A508" s="18"/>
      <c r="B508" s="122"/>
      <c r="C508" s="132" t="s">
        <v>48</v>
      </c>
      <c r="D508" s="100" t="s">
        <v>65</v>
      </c>
      <c r="E508" s="89">
        <f>SUM(E506:E507)</f>
        <v>21640.15</v>
      </c>
      <c r="F508" s="89"/>
      <c r="G508" s="87">
        <f t="shared" ref="G508:H508" si="154">SUM(G506:G507)</f>
        <v>70609.069000000003</v>
      </c>
      <c r="H508" s="87">
        <f t="shared" si="154"/>
        <v>497047.18999999994</v>
      </c>
      <c r="I508" s="87"/>
      <c r="J508" s="87"/>
      <c r="K508" s="87"/>
      <c r="L508" s="122"/>
      <c r="M508" s="122"/>
      <c r="N508" s="122"/>
      <c r="O508" s="122"/>
      <c r="P508" s="87">
        <v>232896.57</v>
      </c>
      <c r="Q508" s="76"/>
      <c r="R508" s="77"/>
      <c r="S508" s="50"/>
    </row>
    <row r="509" spans="1:19" s="2" customFormat="1" ht="19.5" customHeight="1" x14ac:dyDescent="0.25">
      <c r="A509" s="20"/>
      <c r="B509" s="129"/>
      <c r="C509" s="136" t="s">
        <v>48</v>
      </c>
      <c r="D509" s="99" t="s">
        <v>70</v>
      </c>
      <c r="E509" s="93">
        <v>764.16</v>
      </c>
      <c r="F509" s="94">
        <v>3.37</v>
      </c>
      <c r="G509" s="94">
        <v>2575.2192</v>
      </c>
      <c r="H509" s="94">
        <v>30566.399999999998</v>
      </c>
      <c r="I509" s="94"/>
      <c r="J509" s="94"/>
      <c r="K509" s="94"/>
      <c r="L509" s="129"/>
      <c r="M509" s="129"/>
      <c r="N509" s="129"/>
      <c r="O509" s="129"/>
      <c r="P509" s="94">
        <v>0</v>
      </c>
      <c r="Q509" s="73"/>
      <c r="R509" s="74"/>
      <c r="S509" s="47"/>
    </row>
    <row r="510" spans="1:19" s="2" customFormat="1" ht="39.75" customHeight="1" x14ac:dyDescent="0.25">
      <c r="A510" s="18"/>
      <c r="B510" s="122"/>
      <c r="C510" s="132" t="s">
        <v>48</v>
      </c>
      <c r="D510" s="100" t="s">
        <v>69</v>
      </c>
      <c r="E510" s="89">
        <f>SUM(E508:E509)</f>
        <v>22404.31</v>
      </c>
      <c r="F510" s="89"/>
      <c r="G510" s="87">
        <f t="shared" ref="G510:H510" si="155">SUM(G508:G509)</f>
        <v>73184.28820000001</v>
      </c>
      <c r="H510" s="87">
        <f t="shared" si="155"/>
        <v>527613.59</v>
      </c>
      <c r="I510" s="87"/>
      <c r="J510" s="87"/>
      <c r="K510" s="87"/>
      <c r="L510" s="122"/>
      <c r="M510" s="122"/>
      <c r="N510" s="122"/>
      <c r="O510" s="122"/>
      <c r="P510" s="87">
        <v>232896.57</v>
      </c>
      <c r="Q510" s="76"/>
      <c r="R510" s="77"/>
      <c r="S510" s="50"/>
    </row>
    <row r="511" spans="1:19" s="2" customFormat="1" ht="21.75" customHeight="1" x14ac:dyDescent="0.25">
      <c r="A511" s="20"/>
      <c r="B511" s="129"/>
      <c r="C511" s="131" t="s">
        <v>48</v>
      </c>
      <c r="D511" s="99" t="s">
        <v>71</v>
      </c>
      <c r="E511" s="93">
        <v>698.26</v>
      </c>
      <c r="F511" s="94">
        <v>3.45</v>
      </c>
      <c r="G511" s="94">
        <f>E511*F511</f>
        <v>2408.9970000000003</v>
      </c>
      <c r="H511" s="94">
        <f>E511*45</f>
        <v>31421.7</v>
      </c>
      <c r="I511" s="94"/>
      <c r="J511" s="94"/>
      <c r="K511" s="94"/>
      <c r="L511" s="129"/>
      <c r="M511" s="129"/>
      <c r="N511" s="129"/>
      <c r="O511" s="129"/>
      <c r="P511" s="94">
        <v>0</v>
      </c>
      <c r="Q511" s="73"/>
      <c r="R511" s="74"/>
      <c r="S511" s="47"/>
    </row>
    <row r="512" spans="1:19" s="2" customFormat="1" ht="39.75" customHeight="1" x14ac:dyDescent="0.25">
      <c r="A512" s="18"/>
      <c r="B512" s="122"/>
      <c r="C512" s="132" t="s">
        <v>48</v>
      </c>
      <c r="D512" s="100" t="s">
        <v>72</v>
      </c>
      <c r="E512" s="89">
        <f>SUM(E510:E511)</f>
        <v>23102.57</v>
      </c>
      <c r="F512" s="89"/>
      <c r="G512" s="87">
        <f t="shared" ref="G512:H512" si="156">SUM(G510:G511)</f>
        <v>75593.285200000013</v>
      </c>
      <c r="H512" s="87">
        <f t="shared" si="156"/>
        <v>559035.28999999992</v>
      </c>
      <c r="I512" s="87"/>
      <c r="J512" s="87"/>
      <c r="K512" s="87"/>
      <c r="L512" s="122"/>
      <c r="M512" s="122"/>
      <c r="N512" s="122"/>
      <c r="O512" s="122"/>
      <c r="P512" s="87">
        <v>232896.57</v>
      </c>
      <c r="Q512" s="76"/>
      <c r="R512" s="77"/>
      <c r="S512" s="50"/>
    </row>
    <row r="513" spans="1:19" s="2" customFormat="1" ht="24" customHeight="1" x14ac:dyDescent="0.25">
      <c r="A513" s="20"/>
      <c r="B513" s="129"/>
      <c r="C513" s="131" t="s">
        <v>48</v>
      </c>
      <c r="D513" s="99" t="s">
        <v>73</v>
      </c>
      <c r="E513" s="93">
        <v>1016</v>
      </c>
      <c r="F513" s="94">
        <v>3.45</v>
      </c>
      <c r="G513" s="94">
        <f>E513*F513</f>
        <v>3505.2000000000003</v>
      </c>
      <c r="H513" s="94">
        <f>E513*45</f>
        <v>45720</v>
      </c>
      <c r="I513" s="94"/>
      <c r="J513" s="94"/>
      <c r="K513" s="94"/>
      <c r="L513" s="129"/>
      <c r="M513" s="129"/>
      <c r="N513" s="129"/>
      <c r="O513" s="129"/>
      <c r="P513" s="94">
        <v>0</v>
      </c>
      <c r="Q513" s="73"/>
      <c r="R513" s="74"/>
      <c r="S513" s="47"/>
    </row>
    <row r="514" spans="1:19" s="2" customFormat="1" ht="39.75" customHeight="1" x14ac:dyDescent="0.25">
      <c r="A514" s="18"/>
      <c r="B514" s="122"/>
      <c r="C514" s="132" t="s">
        <v>48</v>
      </c>
      <c r="D514" s="100" t="s">
        <v>74</v>
      </c>
      <c r="E514" s="89">
        <f>SUM(E512:E513)</f>
        <v>24118.57</v>
      </c>
      <c r="F514" s="89"/>
      <c r="G514" s="87">
        <f t="shared" ref="G514:H514" si="157">SUM(G512:G513)</f>
        <v>79098.48520000001</v>
      </c>
      <c r="H514" s="87">
        <f t="shared" si="157"/>
        <v>604755.28999999992</v>
      </c>
      <c r="I514" s="87"/>
      <c r="J514" s="87"/>
      <c r="K514" s="87"/>
      <c r="L514" s="122"/>
      <c r="M514" s="122"/>
      <c r="N514" s="122"/>
      <c r="O514" s="122"/>
      <c r="P514" s="87">
        <v>232896.57</v>
      </c>
      <c r="Q514" s="76"/>
      <c r="R514" s="77"/>
      <c r="S514" s="50"/>
    </row>
    <row r="515" spans="1:19" s="2" customFormat="1" ht="19.5" customHeight="1" x14ac:dyDescent="0.25">
      <c r="A515" s="20"/>
      <c r="B515" s="129"/>
      <c r="C515" s="131" t="s">
        <v>48</v>
      </c>
      <c r="D515" s="99" t="s">
        <v>76</v>
      </c>
      <c r="E515" s="93">
        <v>885.86</v>
      </c>
      <c r="F515" s="94">
        <v>3.45</v>
      </c>
      <c r="G515" s="94">
        <f>E515*F515</f>
        <v>3056.2170000000001</v>
      </c>
      <c r="H515" s="94">
        <f>E515*45</f>
        <v>39863.699999999997</v>
      </c>
      <c r="I515" s="94"/>
      <c r="J515" s="94"/>
      <c r="K515" s="94"/>
      <c r="L515" s="129"/>
      <c r="M515" s="129"/>
      <c r="N515" s="129"/>
      <c r="O515" s="129"/>
      <c r="P515" s="94">
        <v>0</v>
      </c>
      <c r="Q515" s="73"/>
      <c r="R515" s="74"/>
      <c r="S515" s="47"/>
    </row>
    <row r="516" spans="1:19" s="2" customFormat="1" ht="39.75" customHeight="1" x14ac:dyDescent="0.25">
      <c r="A516" s="20"/>
      <c r="B516" s="129"/>
      <c r="C516" s="131" t="s">
        <v>54</v>
      </c>
      <c r="D516" s="104"/>
      <c r="E516" s="93">
        <v>8.5</v>
      </c>
      <c r="F516" s="94">
        <v>0</v>
      </c>
      <c r="G516" s="94">
        <v>0</v>
      </c>
      <c r="H516" s="94">
        <v>0</v>
      </c>
      <c r="I516" s="94"/>
      <c r="J516" s="94"/>
      <c r="K516" s="94"/>
      <c r="L516" s="129"/>
      <c r="M516" s="129"/>
      <c r="N516" s="129"/>
      <c r="O516" s="129"/>
      <c r="P516" s="94"/>
      <c r="Q516" s="73"/>
      <c r="R516" s="74"/>
      <c r="S516" s="47"/>
    </row>
    <row r="517" spans="1:19" s="2" customFormat="1" ht="39.75" customHeight="1" x14ac:dyDescent="0.25">
      <c r="A517" s="18"/>
      <c r="B517" s="122"/>
      <c r="C517" s="132" t="s">
        <v>48</v>
      </c>
      <c r="D517" s="100" t="s">
        <v>77</v>
      </c>
      <c r="E517" s="89">
        <f>SUM(E514:E516)</f>
        <v>25012.93</v>
      </c>
      <c r="F517" s="89"/>
      <c r="G517" s="87">
        <f t="shared" ref="G517:H517" si="158">SUM(G514:G516)</f>
        <v>82154.702200000014</v>
      </c>
      <c r="H517" s="87">
        <f t="shared" si="158"/>
        <v>644618.98999999987</v>
      </c>
      <c r="I517" s="87"/>
      <c r="J517" s="87"/>
      <c r="K517" s="87"/>
      <c r="L517" s="122"/>
      <c r="M517" s="122"/>
      <c r="N517" s="122"/>
      <c r="O517" s="122"/>
      <c r="P517" s="87">
        <v>232896.57</v>
      </c>
      <c r="Q517" s="76"/>
      <c r="R517" s="77"/>
      <c r="S517" s="50"/>
    </row>
    <row r="518" spans="1:19" s="2" customFormat="1" ht="22.5" customHeight="1" x14ac:dyDescent="0.25">
      <c r="A518" s="20"/>
      <c r="B518" s="129"/>
      <c r="C518" s="131" t="s">
        <v>48</v>
      </c>
      <c r="D518" s="99" t="s">
        <v>78</v>
      </c>
      <c r="E518" s="93">
        <v>301.55</v>
      </c>
      <c r="F518" s="94">
        <v>3.45</v>
      </c>
      <c r="G518" s="94">
        <f>E518*F518</f>
        <v>1040.3475000000001</v>
      </c>
      <c r="H518" s="94">
        <f>E518*45</f>
        <v>13569.75</v>
      </c>
      <c r="I518" s="94"/>
      <c r="J518" s="94"/>
      <c r="K518" s="94"/>
      <c r="L518" s="129"/>
      <c r="M518" s="129"/>
      <c r="N518" s="129"/>
      <c r="O518" s="129"/>
      <c r="P518" s="94">
        <v>165942.28</v>
      </c>
      <c r="Q518" s="73"/>
      <c r="R518" s="74"/>
      <c r="S518" s="47"/>
    </row>
    <row r="519" spans="1:19" s="2" customFormat="1" ht="39.75" customHeight="1" x14ac:dyDescent="0.25">
      <c r="A519" s="18"/>
      <c r="B519" s="122"/>
      <c r="C519" s="132" t="s">
        <v>48</v>
      </c>
      <c r="D519" s="100" t="s">
        <v>79</v>
      </c>
      <c r="E519" s="89">
        <f>SUM(E517:E518)</f>
        <v>25314.48</v>
      </c>
      <c r="F519" s="89"/>
      <c r="G519" s="87">
        <f t="shared" ref="G519:H519" si="159">SUM(G517:G518)</f>
        <v>83195.049700000018</v>
      </c>
      <c r="H519" s="87">
        <f t="shared" si="159"/>
        <v>658188.73999999987</v>
      </c>
      <c r="I519" s="87"/>
      <c r="J519" s="87"/>
      <c r="K519" s="87"/>
      <c r="L519" s="122"/>
      <c r="M519" s="122"/>
      <c r="N519" s="122"/>
      <c r="O519" s="122"/>
      <c r="P519" s="87">
        <f>P517+P518</f>
        <v>398838.85</v>
      </c>
      <c r="Q519" s="76"/>
      <c r="R519" s="77"/>
      <c r="S519" s="50"/>
    </row>
    <row r="520" spans="1:19" s="2" customFormat="1" ht="22.5" customHeight="1" x14ac:dyDescent="0.25">
      <c r="A520" s="20"/>
      <c r="B520" s="129"/>
      <c r="C520" s="131" t="s">
        <v>48</v>
      </c>
      <c r="D520" s="99" t="s">
        <v>82</v>
      </c>
      <c r="E520" s="93">
        <v>216.84</v>
      </c>
      <c r="F520" s="94">
        <v>3.45</v>
      </c>
      <c r="G520" s="94">
        <f>E520*F520</f>
        <v>748.09800000000007</v>
      </c>
      <c r="H520" s="94">
        <f>E520*57</f>
        <v>12359.880000000001</v>
      </c>
      <c r="I520" s="94"/>
      <c r="J520" s="94"/>
      <c r="K520" s="94"/>
      <c r="L520" s="129"/>
      <c r="M520" s="129"/>
      <c r="N520" s="129"/>
      <c r="O520" s="129"/>
      <c r="P520" s="94">
        <v>151956.35999999999</v>
      </c>
      <c r="Q520" s="73"/>
      <c r="R520" s="74"/>
      <c r="S520" s="47"/>
    </row>
    <row r="521" spans="1:19" s="2" customFormat="1" ht="39.75" customHeight="1" x14ac:dyDescent="0.25">
      <c r="A521" s="18"/>
      <c r="B521" s="122"/>
      <c r="C521" s="132" t="s">
        <v>48</v>
      </c>
      <c r="D521" s="100" t="s">
        <v>81</v>
      </c>
      <c r="E521" s="89">
        <f>SUM(E519:E520)</f>
        <v>25531.32</v>
      </c>
      <c r="F521" s="89"/>
      <c r="G521" s="87">
        <f t="shared" ref="G521:P521" si="160">SUM(G519:G520)</f>
        <v>83943.147700000016</v>
      </c>
      <c r="H521" s="87">
        <f t="shared" si="160"/>
        <v>670548.61999999988</v>
      </c>
      <c r="I521" s="87"/>
      <c r="J521" s="87"/>
      <c r="K521" s="87"/>
      <c r="L521" s="87"/>
      <c r="M521" s="87"/>
      <c r="N521" s="87"/>
      <c r="O521" s="87"/>
      <c r="P521" s="87">
        <f t="shared" si="160"/>
        <v>550795.21</v>
      </c>
      <c r="Q521" s="76"/>
      <c r="R521" s="77"/>
      <c r="S521" s="50"/>
    </row>
    <row r="522" spans="1:19" s="2" customFormat="1" ht="24.75" customHeight="1" x14ac:dyDescent="0.25">
      <c r="A522" s="20"/>
      <c r="B522" s="129"/>
      <c r="C522" s="131" t="s">
        <v>48</v>
      </c>
      <c r="D522" s="99" t="s">
        <v>84</v>
      </c>
      <c r="E522" s="93">
        <v>654.28</v>
      </c>
      <c r="F522" s="94">
        <v>3.45</v>
      </c>
      <c r="G522" s="94">
        <f>E522*F522</f>
        <v>2257.2660000000001</v>
      </c>
      <c r="H522" s="94">
        <f>E522*57</f>
        <v>37293.96</v>
      </c>
      <c r="I522" s="94"/>
      <c r="J522" s="94"/>
      <c r="K522" s="94"/>
      <c r="L522" s="94"/>
      <c r="M522" s="94"/>
      <c r="N522" s="94"/>
      <c r="O522" s="94"/>
      <c r="P522" s="94">
        <v>0</v>
      </c>
      <c r="Q522" s="73"/>
      <c r="R522" s="74"/>
      <c r="S522" s="47"/>
    </row>
    <row r="523" spans="1:19" s="2" customFormat="1" ht="39.75" customHeight="1" x14ac:dyDescent="0.25">
      <c r="A523" s="18"/>
      <c r="B523" s="122"/>
      <c r="C523" s="132" t="s">
        <v>48</v>
      </c>
      <c r="D523" s="100" t="s">
        <v>86</v>
      </c>
      <c r="E523" s="89">
        <f>SUM(E521:E522)</f>
        <v>26185.599999999999</v>
      </c>
      <c r="F523" s="89"/>
      <c r="G523" s="87">
        <f t="shared" ref="G523:P523" si="161">SUM(G521:G522)</f>
        <v>86200.413700000019</v>
      </c>
      <c r="H523" s="87">
        <f t="shared" si="161"/>
        <v>707842.57999999984</v>
      </c>
      <c r="I523" s="87"/>
      <c r="J523" s="87"/>
      <c r="K523" s="87"/>
      <c r="L523" s="87"/>
      <c r="M523" s="87"/>
      <c r="N523" s="87"/>
      <c r="O523" s="87"/>
      <c r="P523" s="87">
        <f t="shared" si="161"/>
        <v>550795.21</v>
      </c>
      <c r="Q523" s="76"/>
      <c r="R523" s="77"/>
      <c r="S523" s="50"/>
    </row>
    <row r="524" spans="1:19" s="2" customFormat="1" ht="24.75" customHeight="1" x14ac:dyDescent="0.25">
      <c r="A524" s="20"/>
      <c r="B524" s="129"/>
      <c r="C524" s="131" t="s">
        <v>48</v>
      </c>
      <c r="D524" s="99" t="s">
        <v>89</v>
      </c>
      <c r="E524" s="93">
        <v>1080.96</v>
      </c>
      <c r="F524" s="94">
        <v>3.45</v>
      </c>
      <c r="G524" s="94">
        <f>E524*F524</f>
        <v>3729.3120000000004</v>
      </c>
      <c r="H524" s="94">
        <f>E524*57</f>
        <v>61614.720000000001</v>
      </c>
      <c r="I524" s="94"/>
      <c r="J524" s="94"/>
      <c r="K524" s="94"/>
      <c r="L524" s="94"/>
      <c r="M524" s="94"/>
      <c r="N524" s="94"/>
      <c r="O524" s="94"/>
      <c r="P524" s="94">
        <v>0</v>
      </c>
      <c r="Q524" s="73"/>
      <c r="R524" s="74"/>
      <c r="S524" s="47"/>
    </row>
    <row r="525" spans="1:19" s="2" customFormat="1" ht="39.75" customHeight="1" x14ac:dyDescent="0.25">
      <c r="A525" s="18"/>
      <c r="B525" s="122"/>
      <c r="C525" s="132" t="s">
        <v>48</v>
      </c>
      <c r="D525" s="100" t="s">
        <v>90</v>
      </c>
      <c r="E525" s="89">
        <f>SUM(E523:E524)</f>
        <v>27266.559999999998</v>
      </c>
      <c r="F525" s="89"/>
      <c r="G525" s="87">
        <f t="shared" ref="G525:P525" si="162">SUM(G523:G524)</f>
        <v>89929.725700000025</v>
      </c>
      <c r="H525" s="87">
        <f t="shared" si="162"/>
        <v>769457.29999999981</v>
      </c>
      <c r="I525" s="87"/>
      <c r="J525" s="87"/>
      <c r="K525" s="87"/>
      <c r="L525" s="87"/>
      <c r="M525" s="87"/>
      <c r="N525" s="87"/>
      <c r="O525" s="87"/>
      <c r="P525" s="87">
        <f t="shared" si="162"/>
        <v>550795.21</v>
      </c>
      <c r="Q525" s="76"/>
      <c r="R525" s="77"/>
      <c r="S525" s="50"/>
    </row>
    <row r="526" spans="1:19" s="2" customFormat="1" ht="26.25" customHeight="1" x14ac:dyDescent="0.25">
      <c r="A526" s="20"/>
      <c r="B526" s="129"/>
      <c r="C526" s="131" t="s">
        <v>48</v>
      </c>
      <c r="D526" s="99" t="s">
        <v>93</v>
      </c>
      <c r="E526" s="93">
        <v>957.42</v>
      </c>
      <c r="F526" s="94">
        <v>3.45</v>
      </c>
      <c r="G526" s="94">
        <f>E526*F526</f>
        <v>3303.0990000000002</v>
      </c>
      <c r="H526" s="94">
        <f>E526*57</f>
        <v>54572.939999999995</v>
      </c>
      <c r="I526" s="94"/>
      <c r="J526" s="94"/>
      <c r="K526" s="94"/>
      <c r="L526" s="94"/>
      <c r="M526" s="94"/>
      <c r="N526" s="94"/>
      <c r="O526" s="94"/>
      <c r="P526" s="94">
        <v>0</v>
      </c>
      <c r="Q526" s="73"/>
      <c r="R526" s="74"/>
      <c r="S526" s="47"/>
    </row>
    <row r="527" spans="1:19" s="2" customFormat="1" ht="39.75" customHeight="1" x14ac:dyDescent="0.25">
      <c r="A527" s="18"/>
      <c r="B527" s="122"/>
      <c r="C527" s="132" t="s">
        <v>48</v>
      </c>
      <c r="D527" s="100" t="s">
        <v>94</v>
      </c>
      <c r="E527" s="89">
        <f>SUM(E525:E526)</f>
        <v>28223.979999999996</v>
      </c>
      <c r="F527" s="89"/>
      <c r="G527" s="87">
        <f t="shared" ref="G527:H527" si="163">SUM(G525:G526)</f>
        <v>93232.824700000026</v>
      </c>
      <c r="H527" s="87">
        <f t="shared" si="163"/>
        <v>824030.23999999976</v>
      </c>
      <c r="I527" s="87"/>
      <c r="J527" s="87"/>
      <c r="K527" s="87"/>
      <c r="L527" s="87"/>
      <c r="M527" s="87"/>
      <c r="N527" s="87"/>
      <c r="O527" s="87"/>
      <c r="P527" s="87">
        <v>550795.21</v>
      </c>
      <c r="Q527" s="76"/>
      <c r="R527" s="77"/>
      <c r="S527" s="50"/>
    </row>
    <row r="528" spans="1:19" s="2" customFormat="1" ht="91.5" customHeight="1" x14ac:dyDescent="0.25">
      <c r="A528" s="20"/>
      <c r="B528" s="129"/>
      <c r="C528" s="131" t="s">
        <v>48</v>
      </c>
      <c r="D528" s="99" t="s">
        <v>96</v>
      </c>
      <c r="E528" s="93">
        <v>796.04</v>
      </c>
      <c r="F528" s="94">
        <v>5.6</v>
      </c>
      <c r="G528" s="94">
        <f>E528*F528</f>
        <v>4457.8239999999996</v>
      </c>
      <c r="H528" s="94">
        <v>73017.56</v>
      </c>
      <c r="I528" s="94"/>
      <c r="J528" s="94"/>
      <c r="K528" s="94"/>
      <c r="L528" s="94"/>
      <c r="M528" s="94"/>
      <c r="N528" s="94"/>
      <c r="O528" s="94"/>
      <c r="P528" s="220" t="s">
        <v>116</v>
      </c>
      <c r="Q528" s="73"/>
      <c r="R528" s="74"/>
      <c r="S528" s="217" t="s">
        <v>101</v>
      </c>
    </row>
    <row r="529" spans="1:19" s="2" customFormat="1" ht="39.75" customHeight="1" x14ac:dyDescent="0.25">
      <c r="A529" s="18"/>
      <c r="B529" s="122"/>
      <c r="C529" s="132" t="s">
        <v>48</v>
      </c>
      <c r="D529" s="100" t="s">
        <v>97</v>
      </c>
      <c r="E529" s="89">
        <f>SUM(E527:E528)</f>
        <v>29020.019999999997</v>
      </c>
      <c r="F529" s="89"/>
      <c r="G529" s="87">
        <f>SUM(G527:G528)</f>
        <v>97690.64870000002</v>
      </c>
      <c r="H529" s="87">
        <f t="shared" ref="H529" si="164">SUM(H527:H528)</f>
        <v>897047.79999999981</v>
      </c>
      <c r="I529" s="87"/>
      <c r="J529" s="87"/>
      <c r="K529" s="87"/>
      <c r="L529" s="87"/>
      <c r="M529" s="87"/>
      <c r="N529" s="87"/>
      <c r="O529" s="87"/>
      <c r="P529" s="221" t="s">
        <v>117</v>
      </c>
      <c r="Q529" s="76"/>
      <c r="R529" s="77"/>
      <c r="S529" s="50"/>
    </row>
    <row r="530" spans="1:19" s="2" customFormat="1" ht="29.25" customHeight="1" x14ac:dyDescent="0.25">
      <c r="A530" s="20"/>
      <c r="B530" s="129"/>
      <c r="C530" s="131" t="s">
        <v>48</v>
      </c>
      <c r="D530" s="99" t="s">
        <v>119</v>
      </c>
      <c r="E530" s="93">
        <v>995.68</v>
      </c>
      <c r="F530" s="94">
        <v>5.6</v>
      </c>
      <c r="G530" s="94">
        <f>E530*F530</f>
        <v>5575.8079999999991</v>
      </c>
      <c r="H530" s="94">
        <f>E530*69</f>
        <v>68701.919999999998</v>
      </c>
      <c r="I530" s="94"/>
      <c r="J530" s="94"/>
      <c r="K530" s="94"/>
      <c r="L530" s="94"/>
      <c r="M530" s="94"/>
      <c r="N530" s="94"/>
      <c r="O530" s="94"/>
      <c r="P530" s="220" t="s">
        <v>125</v>
      </c>
      <c r="Q530" s="73"/>
      <c r="R530" s="74"/>
      <c r="S530" s="47"/>
    </row>
    <row r="531" spans="1:19" s="2" customFormat="1" ht="39.75" customHeight="1" x14ac:dyDescent="0.25">
      <c r="A531" s="18"/>
      <c r="B531" s="122"/>
      <c r="C531" s="132" t="s">
        <v>48</v>
      </c>
      <c r="D531" s="100" t="s">
        <v>120</v>
      </c>
      <c r="E531" s="89">
        <f>SUM(E529:E530)</f>
        <v>30015.699999999997</v>
      </c>
      <c r="F531" s="89"/>
      <c r="G531" s="87">
        <f t="shared" ref="G531:H531" si="165">SUM(G529:G530)</f>
        <v>103266.45670000002</v>
      </c>
      <c r="H531" s="87">
        <f t="shared" si="165"/>
        <v>965749.71999999986</v>
      </c>
      <c r="I531" s="87"/>
      <c r="J531" s="87"/>
      <c r="K531" s="87"/>
      <c r="L531" s="87"/>
      <c r="M531" s="87"/>
      <c r="N531" s="87"/>
      <c r="O531" s="87"/>
      <c r="P531" s="221" t="s">
        <v>137</v>
      </c>
      <c r="Q531" s="76"/>
      <c r="R531" s="77"/>
      <c r="S531" s="50"/>
    </row>
    <row r="532" spans="1:19" s="2" customFormat="1" ht="39.75" customHeight="1" x14ac:dyDescent="0.25">
      <c r="A532" s="20"/>
      <c r="B532" s="129"/>
      <c r="C532" s="131" t="s">
        <v>48</v>
      </c>
      <c r="D532" s="99" t="s">
        <v>139</v>
      </c>
      <c r="E532" s="93">
        <v>1034.68</v>
      </c>
      <c r="F532" s="94">
        <v>5.6</v>
      </c>
      <c r="G532" s="94">
        <f>SUM(E532*F532)</f>
        <v>5794.2079999999996</v>
      </c>
      <c r="H532" s="94">
        <f>SUM(E532*69)</f>
        <v>71392.92</v>
      </c>
      <c r="I532" s="94"/>
      <c r="J532" s="94"/>
      <c r="K532" s="94"/>
      <c r="L532" s="94"/>
      <c r="M532" s="94"/>
      <c r="N532" s="94"/>
      <c r="O532" s="94"/>
      <c r="P532" s="220">
        <v>0</v>
      </c>
      <c r="Q532" s="73"/>
      <c r="R532" s="74"/>
      <c r="S532" s="47"/>
    </row>
    <row r="533" spans="1:19" s="2" customFormat="1" ht="39.75" customHeight="1" x14ac:dyDescent="0.25">
      <c r="A533" s="18"/>
      <c r="B533" s="122"/>
      <c r="C533" s="132" t="s">
        <v>48</v>
      </c>
      <c r="D533" s="100" t="s">
        <v>140</v>
      </c>
      <c r="E533" s="89">
        <f>SUM(E531:E532)</f>
        <v>31050.379999999997</v>
      </c>
      <c r="F533" s="89"/>
      <c r="G533" s="87">
        <f t="shared" ref="G533:H533" si="166">SUM(G531:G532)</f>
        <v>109060.66470000002</v>
      </c>
      <c r="H533" s="87">
        <f t="shared" si="166"/>
        <v>1037142.6399999999</v>
      </c>
      <c r="I533" s="87"/>
      <c r="J533" s="87"/>
      <c r="K533" s="87"/>
      <c r="L533" s="87"/>
      <c r="M533" s="87"/>
      <c r="N533" s="87"/>
      <c r="O533" s="87"/>
      <c r="P533" s="221" t="s">
        <v>137</v>
      </c>
      <c r="Q533" s="76"/>
      <c r="R533" s="77"/>
      <c r="S533" s="50"/>
    </row>
    <row r="534" spans="1:19" s="2" customFormat="1" ht="39.75" customHeight="1" x14ac:dyDescent="0.25">
      <c r="A534" s="20"/>
      <c r="B534" s="129"/>
      <c r="C534" s="131" t="s">
        <v>48</v>
      </c>
      <c r="D534" s="99" t="s">
        <v>144</v>
      </c>
      <c r="E534" s="93">
        <v>955.58</v>
      </c>
      <c r="F534" s="94">
        <v>5.6</v>
      </c>
      <c r="G534" s="94">
        <f>SUM(E534*F534)</f>
        <v>5351.2479999999996</v>
      </c>
      <c r="H534" s="94">
        <f>SUM(E534*69)</f>
        <v>65935.02</v>
      </c>
      <c r="I534" s="180"/>
      <c r="K534" s="94"/>
      <c r="L534" s="94"/>
      <c r="M534" s="94"/>
      <c r="N534" s="94"/>
      <c r="O534" s="94"/>
      <c r="P534" s="220" t="s">
        <v>154</v>
      </c>
      <c r="Q534" s="73"/>
      <c r="R534" s="74"/>
      <c r="S534" s="47"/>
    </row>
    <row r="535" spans="1:19" s="2" customFormat="1" ht="39.75" customHeight="1" x14ac:dyDescent="0.25">
      <c r="A535" s="18"/>
      <c r="B535" s="122"/>
      <c r="C535" s="132" t="s">
        <v>48</v>
      </c>
      <c r="D535" s="100" t="s">
        <v>145</v>
      </c>
      <c r="E535" s="89">
        <f>SUM(E533:E534)</f>
        <v>32005.96</v>
      </c>
      <c r="F535" s="89"/>
      <c r="G535" s="87">
        <f>SUM(G533:G534)</f>
        <v>114411.91270000002</v>
      </c>
      <c r="H535" s="87">
        <f>SUM(H533:H534)</f>
        <v>1103077.6599999999</v>
      </c>
      <c r="I535" s="87"/>
      <c r="J535" s="87"/>
      <c r="K535" s="87"/>
      <c r="L535" s="87"/>
      <c r="M535" s="87"/>
      <c r="N535" s="87"/>
      <c r="O535" s="87"/>
      <c r="P535" s="221" t="s">
        <v>155</v>
      </c>
      <c r="Q535" s="76"/>
      <c r="R535" s="77"/>
      <c r="S535" s="50"/>
    </row>
    <row r="536" spans="1:19" s="2" customFormat="1" ht="39.75" customHeight="1" x14ac:dyDescent="0.25">
      <c r="A536" s="20"/>
      <c r="B536" s="129"/>
      <c r="C536" s="131" t="s">
        <v>48</v>
      </c>
      <c r="D536" s="99" t="s">
        <v>165</v>
      </c>
      <c r="E536" s="93">
        <v>804.18</v>
      </c>
      <c r="F536" s="94">
        <v>5.6</v>
      </c>
      <c r="G536" s="94">
        <f>E536*F536</f>
        <v>4503.4079999999994</v>
      </c>
      <c r="H536" s="94">
        <f>E536*82</f>
        <v>65942.759999999995</v>
      </c>
      <c r="I536" s="94"/>
      <c r="J536" s="94"/>
      <c r="K536" s="94"/>
      <c r="L536" s="94"/>
      <c r="M536" s="94"/>
      <c r="N536" s="94"/>
      <c r="O536" s="94"/>
      <c r="P536" s="220" t="s">
        <v>182</v>
      </c>
      <c r="Q536" s="73"/>
      <c r="R536" s="74"/>
      <c r="S536" s="47"/>
    </row>
    <row r="537" spans="1:19" s="2" customFormat="1" ht="39.75" customHeight="1" x14ac:dyDescent="0.25">
      <c r="A537" s="18"/>
      <c r="B537" s="122"/>
      <c r="C537" s="132" t="s">
        <v>48</v>
      </c>
      <c r="D537" s="100" t="s">
        <v>167</v>
      </c>
      <c r="E537" s="89">
        <f>SUM(E535:E536)</f>
        <v>32810.14</v>
      </c>
      <c r="F537" s="89"/>
      <c r="G537" s="87">
        <f t="shared" ref="G537:H537" si="167">SUM(G535:G536)</f>
        <v>118915.32070000001</v>
      </c>
      <c r="H537" s="87">
        <f t="shared" si="167"/>
        <v>1169020.42</v>
      </c>
      <c r="I537" s="87"/>
      <c r="J537" s="87"/>
      <c r="K537" s="87"/>
      <c r="L537" s="87"/>
      <c r="M537" s="87"/>
      <c r="N537" s="87"/>
      <c r="O537" s="87"/>
      <c r="P537" s="221" t="s">
        <v>183</v>
      </c>
      <c r="Q537" s="76"/>
      <c r="R537" s="77"/>
      <c r="S537" s="50"/>
    </row>
    <row r="538" spans="1:19" s="2" customFormat="1" ht="39.75" customHeight="1" x14ac:dyDescent="0.25">
      <c r="A538" s="20"/>
      <c r="B538" s="129"/>
      <c r="C538" s="131" t="s">
        <v>48</v>
      </c>
      <c r="D538" s="99" t="s">
        <v>166</v>
      </c>
      <c r="E538" s="93">
        <v>1097.8399999999999</v>
      </c>
      <c r="F538" s="94">
        <v>5.6</v>
      </c>
      <c r="G538" s="94">
        <f>391.66*5.6</f>
        <v>2193.2959999999998</v>
      </c>
      <c r="H538" s="94">
        <f>391.66*82</f>
        <v>32116.120000000003</v>
      </c>
      <c r="I538" s="94">
        <f>706.18*5.6</f>
        <v>3954.6079999999993</v>
      </c>
      <c r="J538" s="94">
        <f>706.18*82</f>
        <v>57906.759999999995</v>
      </c>
      <c r="K538" s="94"/>
      <c r="L538" s="94"/>
      <c r="M538" s="94"/>
      <c r="N538" s="94"/>
      <c r="O538" s="94"/>
      <c r="P538" s="220">
        <v>0</v>
      </c>
      <c r="Q538" s="73"/>
      <c r="R538" s="74"/>
      <c r="S538" s="47"/>
    </row>
    <row r="539" spans="1:19" s="2" customFormat="1" ht="39.75" customHeight="1" x14ac:dyDescent="0.25">
      <c r="A539" s="18"/>
      <c r="B539" s="122"/>
      <c r="C539" s="132" t="s">
        <v>48</v>
      </c>
      <c r="D539" s="100" t="s">
        <v>168</v>
      </c>
      <c r="E539" s="89">
        <f>SUM(E537:E538)</f>
        <v>33907.979999999996</v>
      </c>
      <c r="F539" s="89"/>
      <c r="G539" s="87">
        <f t="shared" ref="G539:J539" si="168">SUM(G537:G538)</f>
        <v>121108.61670000001</v>
      </c>
      <c r="H539" s="87">
        <f t="shared" si="168"/>
        <v>1201136.54</v>
      </c>
      <c r="I539" s="87">
        <f t="shared" si="168"/>
        <v>3954.6079999999993</v>
      </c>
      <c r="J539" s="87">
        <f t="shared" si="168"/>
        <v>57906.759999999995</v>
      </c>
      <c r="K539" s="87"/>
      <c r="L539" s="87"/>
      <c r="M539" s="87"/>
      <c r="N539" s="87"/>
      <c r="O539" s="87"/>
      <c r="P539" s="221" t="s">
        <v>183</v>
      </c>
      <c r="Q539" s="76"/>
      <c r="R539" s="77"/>
      <c r="S539" s="50"/>
    </row>
    <row r="540" spans="1:19" s="236" customFormat="1" ht="39.75" customHeight="1" x14ac:dyDescent="0.25">
      <c r="A540" s="230"/>
      <c r="B540" s="237"/>
      <c r="C540" s="131" t="s">
        <v>48</v>
      </c>
      <c r="D540" s="99" t="s">
        <v>195</v>
      </c>
      <c r="E540" s="231">
        <v>1067.06</v>
      </c>
      <c r="F540" s="94">
        <v>5.6</v>
      </c>
      <c r="G540" s="94">
        <f>706.18*5.6</f>
        <v>3954.6079999999993</v>
      </c>
      <c r="H540" s="94">
        <f>706.18*82</f>
        <v>57906.759999999995</v>
      </c>
      <c r="I540" s="232">
        <f>E540*5.6</f>
        <v>5975.5359999999991</v>
      </c>
      <c r="J540" s="232">
        <f>E540*82</f>
        <v>87498.92</v>
      </c>
      <c r="K540" s="232"/>
      <c r="L540" s="232"/>
      <c r="M540" s="232"/>
      <c r="N540" s="232"/>
      <c r="O540" s="232"/>
      <c r="P540" s="220">
        <v>0</v>
      </c>
      <c r="Q540" s="247"/>
      <c r="R540" s="248"/>
      <c r="S540" s="235"/>
    </row>
    <row r="541" spans="1:19" s="2" customFormat="1" ht="39.75" customHeight="1" x14ac:dyDescent="0.25">
      <c r="A541" s="18"/>
      <c r="B541" s="122"/>
      <c r="C541" s="132" t="s">
        <v>48</v>
      </c>
      <c r="D541" s="100" t="s">
        <v>196</v>
      </c>
      <c r="E541" s="89">
        <f>SUM(E539:E540)</f>
        <v>34975.039999999994</v>
      </c>
      <c r="F541" s="89"/>
      <c r="G541" s="87">
        <f>SUM(G539:G540)</f>
        <v>125063.22470000001</v>
      </c>
      <c r="H541" s="87">
        <f>SUM(H539:H540)</f>
        <v>1259043.3</v>
      </c>
      <c r="I541" s="87">
        <v>5975.54</v>
      </c>
      <c r="J541" s="87">
        <v>87498.92</v>
      </c>
      <c r="K541" s="87"/>
      <c r="L541" s="87"/>
      <c r="M541" s="87"/>
      <c r="N541" s="87"/>
      <c r="O541" s="87"/>
      <c r="P541" s="221" t="s">
        <v>183</v>
      </c>
      <c r="Q541" s="76"/>
      <c r="R541" s="77"/>
      <c r="S541" s="50"/>
    </row>
    <row r="542" spans="1:19" s="236" customFormat="1" ht="39.75" customHeight="1" x14ac:dyDescent="0.25">
      <c r="A542" s="230"/>
      <c r="B542" s="237"/>
      <c r="C542" s="131" t="s">
        <v>48</v>
      </c>
      <c r="D542" s="99" t="s">
        <v>201</v>
      </c>
      <c r="E542" s="231">
        <v>949.18</v>
      </c>
      <c r="F542" s="94">
        <v>5.6</v>
      </c>
      <c r="G542" s="232">
        <f>1393.22*5.6</f>
        <v>7802.0319999999992</v>
      </c>
      <c r="H542" s="232">
        <f>1393.22*82</f>
        <v>114244.04000000001</v>
      </c>
      <c r="I542" s="232">
        <f>623.02*5.6</f>
        <v>3488.9119999999998</v>
      </c>
      <c r="J542" s="232">
        <f>623.02*82</f>
        <v>51087.64</v>
      </c>
      <c r="K542" s="232"/>
      <c r="L542" s="232"/>
      <c r="M542" s="232"/>
      <c r="N542" s="232"/>
      <c r="O542" s="232"/>
      <c r="P542" s="233" t="s">
        <v>205</v>
      </c>
      <c r="Q542" s="247"/>
      <c r="R542" s="248"/>
      <c r="S542" s="235"/>
    </row>
    <row r="543" spans="1:19" s="2" customFormat="1" ht="39.75" customHeight="1" x14ac:dyDescent="0.25">
      <c r="A543" s="18"/>
      <c r="B543" s="122"/>
      <c r="C543" s="132" t="s">
        <v>48</v>
      </c>
      <c r="D543" s="100" t="s">
        <v>202</v>
      </c>
      <c r="E543" s="89">
        <f>SUM(E541:E542)</f>
        <v>35924.219999999994</v>
      </c>
      <c r="F543" s="89"/>
      <c r="G543" s="87">
        <f>SUM(G541:G542)</f>
        <v>132865.2567</v>
      </c>
      <c r="H543" s="87">
        <f>SUM(H541:H542)</f>
        <v>1373287.34</v>
      </c>
      <c r="I543" s="87">
        <v>3488.91</v>
      </c>
      <c r="J543" s="87">
        <v>51087.64</v>
      </c>
      <c r="K543" s="87"/>
      <c r="L543" s="87"/>
      <c r="M543" s="87"/>
      <c r="N543" s="87"/>
      <c r="O543" s="87"/>
      <c r="P543" s="221" t="s">
        <v>206</v>
      </c>
      <c r="Q543" s="76"/>
      <c r="R543" s="77"/>
      <c r="S543" s="50"/>
    </row>
    <row r="544" spans="1:19" s="236" customFormat="1" ht="39.75" customHeight="1" x14ac:dyDescent="0.25">
      <c r="A544" s="230"/>
      <c r="B544" s="237"/>
      <c r="C544" s="131" t="s">
        <v>48</v>
      </c>
      <c r="D544" s="99" t="s">
        <v>208</v>
      </c>
      <c r="E544" s="231">
        <v>751.76</v>
      </c>
      <c r="F544" s="94">
        <v>5.6</v>
      </c>
      <c r="G544" s="232"/>
      <c r="H544" s="232"/>
      <c r="I544" s="232">
        <f>751.76*5.6</f>
        <v>4209.8559999999998</v>
      </c>
      <c r="J544" s="232">
        <f>751.76*95</f>
        <v>71417.2</v>
      </c>
      <c r="K544" s="232"/>
      <c r="L544" s="232"/>
      <c r="M544" s="232"/>
      <c r="N544" s="232"/>
      <c r="O544" s="232"/>
      <c r="P544" s="233"/>
      <c r="Q544" s="247"/>
      <c r="R544" s="248"/>
      <c r="S544" s="235"/>
    </row>
    <row r="545" spans="1:19" s="2" customFormat="1" ht="39.75" customHeight="1" x14ac:dyDescent="0.25">
      <c r="A545" s="18"/>
      <c r="B545" s="122"/>
      <c r="C545" s="132" t="s">
        <v>48</v>
      </c>
      <c r="D545" s="100" t="s">
        <v>209</v>
      </c>
      <c r="E545" s="89">
        <f>SUM(E543:E544)</f>
        <v>36675.979999999996</v>
      </c>
      <c r="F545" s="89"/>
      <c r="G545" s="87">
        <f>SUM(G543:G544)</f>
        <v>132865.2567</v>
      </c>
      <c r="H545" s="87">
        <f>SUM(H543:H544)</f>
        <v>1373287.34</v>
      </c>
      <c r="I545" s="87">
        <f>SUM(I543:I544)</f>
        <v>7698.7659999999996</v>
      </c>
      <c r="J545" s="87">
        <f>SUM(J543:J544)</f>
        <v>122504.84</v>
      </c>
      <c r="K545" s="87"/>
      <c r="L545" s="87"/>
      <c r="M545" s="87"/>
      <c r="N545" s="87"/>
      <c r="O545" s="87"/>
      <c r="P545" s="221" t="s">
        <v>206</v>
      </c>
      <c r="Q545" s="76"/>
      <c r="R545" s="77"/>
      <c r="S545" s="50"/>
    </row>
    <row r="546" spans="1:19" s="236" customFormat="1" ht="39.75" customHeight="1" x14ac:dyDescent="0.25">
      <c r="A546" s="230"/>
      <c r="B546" s="237"/>
      <c r="C546" s="131" t="s">
        <v>48</v>
      </c>
      <c r="D546" s="99" t="s">
        <v>215</v>
      </c>
      <c r="E546" s="231">
        <v>1076.02</v>
      </c>
      <c r="F546" s="94">
        <v>5.6</v>
      </c>
      <c r="G546" s="232">
        <f>1104.56*5.6</f>
        <v>6185.5359999999991</v>
      </c>
      <c r="H546" s="232">
        <f>51087.64+481.54*95</f>
        <v>96833.94</v>
      </c>
      <c r="I546" s="232">
        <f>1346.24*5.6</f>
        <v>7538.9439999999995</v>
      </c>
      <c r="J546" s="232">
        <f>1346.24*95</f>
        <v>127892.8</v>
      </c>
      <c r="K546" s="232"/>
      <c r="L546" s="232"/>
      <c r="M546" s="232"/>
      <c r="N546" s="232"/>
      <c r="O546" s="232"/>
      <c r="P546" s="233"/>
      <c r="Q546" s="247"/>
      <c r="R546" s="248"/>
      <c r="S546" s="235"/>
    </row>
    <row r="547" spans="1:19" s="2" customFormat="1" ht="39.75" customHeight="1" x14ac:dyDescent="0.25">
      <c r="A547" s="18"/>
      <c r="B547" s="122"/>
      <c r="C547" s="132" t="s">
        <v>48</v>
      </c>
      <c r="D547" s="100" t="s">
        <v>216</v>
      </c>
      <c r="E547" s="89">
        <f>SUM(E545:E546)</f>
        <v>37751.999999999993</v>
      </c>
      <c r="F547" s="89"/>
      <c r="G547" s="87">
        <f>SUM(G545:G546)</f>
        <v>139050.79269999999</v>
      </c>
      <c r="H547" s="87">
        <f>SUM(H545:H546)</f>
        <v>1470121.28</v>
      </c>
      <c r="I547" s="87">
        <v>7538.94</v>
      </c>
      <c r="J547" s="87">
        <v>127892.8</v>
      </c>
      <c r="K547" s="87"/>
      <c r="L547" s="87"/>
      <c r="M547" s="87"/>
      <c r="N547" s="87"/>
      <c r="O547" s="87"/>
      <c r="P547" s="221" t="s">
        <v>206</v>
      </c>
      <c r="Q547" s="76"/>
      <c r="R547" s="77"/>
      <c r="S547" s="50"/>
    </row>
    <row r="548" spans="1:19" s="2" customFormat="1" ht="39.75" customHeight="1" x14ac:dyDescent="0.25">
      <c r="A548" s="20"/>
      <c r="B548" s="129"/>
      <c r="C548" s="131" t="s">
        <v>48</v>
      </c>
      <c r="D548" s="99" t="s">
        <v>218</v>
      </c>
      <c r="E548" s="93">
        <v>1067.57</v>
      </c>
      <c r="F548" s="94">
        <v>5.6</v>
      </c>
      <c r="G548" s="94">
        <f>7538.94+317.6*5.6</f>
        <v>9317.5</v>
      </c>
      <c r="H548" s="94">
        <f>127892.8+317.6*95</f>
        <v>158064.80000000002</v>
      </c>
      <c r="I548" s="94">
        <f>749.97*5.6</f>
        <v>4199.8320000000003</v>
      </c>
      <c r="J548" s="94">
        <f>749.97*95</f>
        <v>71247.150000000009</v>
      </c>
      <c r="K548" s="94"/>
      <c r="L548" s="94"/>
      <c r="M548" s="94"/>
      <c r="N548" s="94"/>
      <c r="O548" s="94"/>
      <c r="P548" s="220"/>
      <c r="Q548" s="73"/>
      <c r="R548" s="74"/>
      <c r="S548" s="47"/>
    </row>
    <row r="549" spans="1:19" s="2" customFormat="1" ht="39.75" customHeight="1" x14ac:dyDescent="0.25">
      <c r="A549" s="18"/>
      <c r="B549" s="122"/>
      <c r="C549" s="132" t="s">
        <v>48</v>
      </c>
      <c r="D549" s="100" t="s">
        <v>219</v>
      </c>
      <c r="E549" s="89">
        <f>SUM(E547:E548)</f>
        <v>38819.569999999992</v>
      </c>
      <c r="F549" s="89"/>
      <c r="G549" s="87">
        <f>SUM(G547:G548)</f>
        <v>148368.29269999999</v>
      </c>
      <c r="H549" s="87">
        <f>SUM(H547:H548)</f>
        <v>1628186.08</v>
      </c>
      <c r="I549" s="87">
        <v>4199.83</v>
      </c>
      <c r="J549" s="87">
        <v>71247.149999999994</v>
      </c>
      <c r="K549" s="87"/>
      <c r="L549" s="87"/>
      <c r="M549" s="87"/>
      <c r="N549" s="87"/>
      <c r="O549" s="87"/>
      <c r="P549" s="221" t="s">
        <v>206</v>
      </c>
      <c r="Q549" s="76"/>
      <c r="R549" s="77"/>
      <c r="S549" s="50"/>
    </row>
    <row r="550" spans="1:19" s="236" customFormat="1" ht="39.75" customHeight="1" x14ac:dyDescent="0.25">
      <c r="A550" s="230"/>
      <c r="B550" s="237"/>
      <c r="C550" s="131" t="s">
        <v>48</v>
      </c>
      <c r="D550" s="99" t="s">
        <v>227</v>
      </c>
      <c r="E550" s="231">
        <v>960.5</v>
      </c>
      <c r="F550" s="94">
        <v>5.6</v>
      </c>
      <c r="G550" s="232">
        <f>4199.83+708.46*5.6</f>
        <v>8167.2060000000001</v>
      </c>
      <c r="H550" s="232">
        <f>71247.15+708.46*95</f>
        <v>138550.84999999998</v>
      </c>
      <c r="I550" s="232">
        <f>252.04*5.6</f>
        <v>1411.424</v>
      </c>
      <c r="J550" s="232">
        <f>252.04*95</f>
        <v>23943.8</v>
      </c>
      <c r="K550" s="232"/>
      <c r="L550" s="232"/>
      <c r="M550" s="232"/>
      <c r="N550" s="232"/>
      <c r="O550" s="232"/>
      <c r="P550" s="233" t="s">
        <v>241</v>
      </c>
      <c r="Q550" s="247"/>
      <c r="R550" s="248"/>
      <c r="S550" s="235"/>
    </row>
    <row r="551" spans="1:19" s="2" customFormat="1" ht="39.75" customHeight="1" x14ac:dyDescent="0.25">
      <c r="A551" s="18"/>
      <c r="B551" s="122"/>
      <c r="C551" s="132" t="s">
        <v>48</v>
      </c>
      <c r="D551" s="100" t="s">
        <v>228</v>
      </c>
      <c r="E551" s="89">
        <f>SUM(E549:E550)</f>
        <v>39780.069999999992</v>
      </c>
      <c r="F551" s="89"/>
      <c r="G551" s="87">
        <f>SUM(G549:G550)</f>
        <v>156535.4987</v>
      </c>
      <c r="H551" s="87">
        <f>SUM(H549:H550)</f>
        <v>1766736.9300000002</v>
      </c>
      <c r="I551" s="87">
        <v>1411.42</v>
      </c>
      <c r="J551" s="87">
        <v>23943.8</v>
      </c>
      <c r="K551" s="87"/>
      <c r="L551" s="87"/>
      <c r="M551" s="87"/>
      <c r="N551" s="87"/>
      <c r="O551" s="87"/>
      <c r="P551" s="221" t="s">
        <v>240</v>
      </c>
      <c r="Q551" s="76"/>
      <c r="R551" s="77"/>
      <c r="S551" s="50"/>
    </row>
    <row r="552" spans="1:19" x14ac:dyDescent="0.25">
      <c r="A552" s="23"/>
      <c r="B552" s="23"/>
      <c r="C552" s="23"/>
      <c r="D552" s="36"/>
      <c r="E552" s="53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72"/>
      <c r="S552" s="55"/>
    </row>
    <row r="553" spans="1:19" ht="27" customHeight="1" x14ac:dyDescent="0.25">
      <c r="A553" s="16"/>
      <c r="B553" s="115" t="s">
        <v>40</v>
      </c>
      <c r="C553" s="136" t="s">
        <v>49</v>
      </c>
      <c r="D553" s="160">
        <v>2011</v>
      </c>
      <c r="E553" s="161">
        <v>127.12</v>
      </c>
      <c r="F553" s="141">
        <v>3.18</v>
      </c>
      <c r="G553" s="94">
        <f>E553*F553</f>
        <v>404.24160000000006</v>
      </c>
      <c r="H553" s="94">
        <v>381.36</v>
      </c>
      <c r="I553" s="84"/>
      <c r="J553" s="84"/>
      <c r="K553" s="84"/>
      <c r="L553" s="119"/>
      <c r="M553" s="119"/>
      <c r="N553" s="119"/>
      <c r="O553" s="119"/>
      <c r="P553" s="84">
        <v>0</v>
      </c>
      <c r="Q553" s="38"/>
      <c r="R553" s="75"/>
      <c r="S553" s="51"/>
    </row>
    <row r="554" spans="1:19" ht="34.5" customHeight="1" x14ac:dyDescent="0.25">
      <c r="A554" s="16"/>
      <c r="B554" s="119"/>
      <c r="C554" s="136" t="s">
        <v>49</v>
      </c>
      <c r="D554" s="160">
        <v>2012</v>
      </c>
      <c r="E554" s="161">
        <v>492.1</v>
      </c>
      <c r="F554" s="141">
        <v>3.18</v>
      </c>
      <c r="G554" s="94">
        <f>E554*F554</f>
        <v>1564.8780000000002</v>
      </c>
      <c r="H554" s="94">
        <v>4428.8999999999996</v>
      </c>
      <c r="I554" s="84"/>
      <c r="J554" s="84"/>
      <c r="K554" s="84"/>
      <c r="L554" s="119"/>
      <c r="M554" s="119"/>
      <c r="N554" s="119"/>
      <c r="O554" s="119"/>
      <c r="P554" s="84">
        <v>0</v>
      </c>
      <c r="Q554" s="38"/>
      <c r="R554" s="75"/>
      <c r="S554" s="51"/>
    </row>
    <row r="555" spans="1:19" ht="39.75" customHeight="1" x14ac:dyDescent="0.25">
      <c r="A555" s="18"/>
      <c r="B555" s="122"/>
      <c r="C555" s="132" t="s">
        <v>49</v>
      </c>
      <c r="D555" s="96" t="s">
        <v>25</v>
      </c>
      <c r="E555" s="89">
        <f>SUM(E553:E554)</f>
        <v>619.22</v>
      </c>
      <c r="F555" s="89"/>
      <c r="G555" s="87">
        <f t="shared" ref="G555:H555" si="169">SUM(G553:G554)</f>
        <v>1969.1196000000002</v>
      </c>
      <c r="H555" s="87">
        <f t="shared" si="169"/>
        <v>4810.2599999999993</v>
      </c>
      <c r="I555" s="87"/>
      <c r="J555" s="87"/>
      <c r="K555" s="87"/>
      <c r="L555" s="122"/>
      <c r="M555" s="122"/>
      <c r="N555" s="122"/>
      <c r="O555" s="122"/>
      <c r="P555" s="87">
        <v>0</v>
      </c>
      <c r="Q555" s="76"/>
      <c r="R555" s="77"/>
      <c r="S555" s="50"/>
    </row>
    <row r="556" spans="1:19" ht="25.5" x14ac:dyDescent="0.25">
      <c r="A556" s="16"/>
      <c r="B556" s="119"/>
      <c r="C556" s="136" t="s">
        <v>49</v>
      </c>
      <c r="D556" s="160">
        <v>2013</v>
      </c>
      <c r="E556" s="161">
        <v>657.83600000000001</v>
      </c>
      <c r="F556" s="141">
        <v>3.18</v>
      </c>
      <c r="G556" s="94">
        <f>E556*F556</f>
        <v>2091.9184800000003</v>
      </c>
      <c r="H556" s="94">
        <v>9867.5400000000009</v>
      </c>
      <c r="I556" s="84"/>
      <c r="J556" s="84"/>
      <c r="K556" s="84"/>
      <c r="L556" s="119"/>
      <c r="M556" s="119"/>
      <c r="N556" s="119"/>
      <c r="O556" s="119"/>
      <c r="P556" s="94">
        <v>0</v>
      </c>
      <c r="Q556" s="38"/>
      <c r="R556" s="75"/>
      <c r="S556" s="51"/>
    </row>
    <row r="557" spans="1:19" ht="38.25" customHeight="1" x14ac:dyDescent="0.25">
      <c r="A557" s="18"/>
      <c r="B557" s="122"/>
      <c r="C557" s="132" t="s">
        <v>49</v>
      </c>
      <c r="D557" s="96" t="s">
        <v>38</v>
      </c>
      <c r="E557" s="89">
        <f>SUM(E555:E556)</f>
        <v>1277.056</v>
      </c>
      <c r="F557" s="89"/>
      <c r="G557" s="87">
        <f t="shared" ref="G557:H557" si="170">SUM(G555:G556)</f>
        <v>4061.0380800000003</v>
      </c>
      <c r="H557" s="87">
        <f t="shared" si="170"/>
        <v>14677.8</v>
      </c>
      <c r="I557" s="87"/>
      <c r="J557" s="87"/>
      <c r="K557" s="87"/>
      <c r="L557" s="122"/>
      <c r="M557" s="122"/>
      <c r="N557" s="122"/>
      <c r="O557" s="122"/>
      <c r="P557" s="87">
        <v>0</v>
      </c>
      <c r="Q557" s="76"/>
      <c r="R557" s="77"/>
      <c r="S557" s="50"/>
    </row>
    <row r="558" spans="1:19" ht="25.5" x14ac:dyDescent="0.25">
      <c r="A558" s="16"/>
      <c r="B558" s="119"/>
      <c r="C558" s="136" t="s">
        <v>49</v>
      </c>
      <c r="D558" s="160">
        <v>2014</v>
      </c>
      <c r="E558" s="161">
        <v>704.02</v>
      </c>
      <c r="F558" s="141">
        <v>3.18</v>
      </c>
      <c r="G558" s="94">
        <f>E558*F558</f>
        <v>2238.7836000000002</v>
      </c>
      <c r="H558" s="94">
        <v>15488.44</v>
      </c>
      <c r="I558" s="84"/>
      <c r="J558" s="84"/>
      <c r="K558" s="84"/>
      <c r="L558" s="119"/>
      <c r="M558" s="119"/>
      <c r="N558" s="119"/>
      <c r="O558" s="119"/>
      <c r="P558" s="94">
        <v>0</v>
      </c>
      <c r="Q558" s="38"/>
      <c r="R558" s="75"/>
      <c r="S558" s="51"/>
    </row>
    <row r="559" spans="1:19" ht="36" customHeight="1" x14ac:dyDescent="0.25">
      <c r="A559" s="18"/>
      <c r="B559" s="122"/>
      <c r="C559" s="132" t="s">
        <v>49</v>
      </c>
      <c r="D559" s="96" t="s">
        <v>24</v>
      </c>
      <c r="E559" s="89">
        <f>SUM(E557:E558)</f>
        <v>1981.076</v>
      </c>
      <c r="F559" s="89"/>
      <c r="G559" s="87">
        <f t="shared" ref="G559:H559" si="171">SUM(G557:G558)</f>
        <v>6299.8216800000009</v>
      </c>
      <c r="H559" s="87">
        <f t="shared" si="171"/>
        <v>30166.239999999998</v>
      </c>
      <c r="I559" s="87"/>
      <c r="J559" s="87"/>
      <c r="K559" s="87"/>
      <c r="L559" s="122"/>
      <c r="M559" s="122"/>
      <c r="N559" s="122"/>
      <c r="O559" s="122"/>
      <c r="P559" s="87">
        <v>0</v>
      </c>
      <c r="Q559" s="76"/>
      <c r="R559" s="77"/>
      <c r="S559" s="50"/>
    </row>
    <row r="560" spans="1:19" ht="25.5" x14ac:dyDescent="0.25">
      <c r="A560" s="16"/>
      <c r="B560" s="119"/>
      <c r="C560" s="136" t="s">
        <v>49</v>
      </c>
      <c r="D560" s="160">
        <v>2015</v>
      </c>
      <c r="E560" s="161">
        <v>773.8</v>
      </c>
      <c r="F560" s="141">
        <v>3.37</v>
      </c>
      <c r="G560" s="94">
        <f>E560*F560</f>
        <v>2607.7060000000001</v>
      </c>
      <c r="H560" s="94">
        <v>21666.400000000001</v>
      </c>
      <c r="I560" s="84"/>
      <c r="J560" s="84"/>
      <c r="K560" s="84"/>
      <c r="L560" s="119"/>
      <c r="M560" s="119"/>
      <c r="N560" s="119"/>
      <c r="O560" s="119"/>
      <c r="P560" s="94">
        <v>0</v>
      </c>
      <c r="Q560" s="38"/>
      <c r="R560" s="75"/>
      <c r="S560" s="51"/>
    </row>
    <row r="561" spans="1:19" ht="38.25" customHeight="1" x14ac:dyDescent="0.25">
      <c r="A561" s="18"/>
      <c r="B561" s="122"/>
      <c r="C561" s="132" t="s">
        <v>49</v>
      </c>
      <c r="D561" s="96" t="s">
        <v>26</v>
      </c>
      <c r="E561" s="89">
        <f>SUM(E559:E560)</f>
        <v>2754.8760000000002</v>
      </c>
      <c r="F561" s="89"/>
      <c r="G561" s="87">
        <f t="shared" ref="G561:H561" si="172">SUM(G559:G560)</f>
        <v>8907.5276800000011</v>
      </c>
      <c r="H561" s="87">
        <f t="shared" si="172"/>
        <v>51832.639999999999</v>
      </c>
      <c r="I561" s="87"/>
      <c r="J561" s="87"/>
      <c r="K561" s="87"/>
      <c r="L561" s="122"/>
      <c r="M561" s="122"/>
      <c r="N561" s="122"/>
      <c r="O561" s="122"/>
      <c r="P561" s="87">
        <v>0</v>
      </c>
      <c r="Q561" s="76"/>
      <c r="R561" s="77"/>
      <c r="S561" s="50"/>
    </row>
    <row r="562" spans="1:19" ht="25.5" x14ac:dyDescent="0.25">
      <c r="A562" s="16"/>
      <c r="B562" s="119"/>
      <c r="C562" s="136" t="s">
        <v>49</v>
      </c>
      <c r="D562" s="99" t="s">
        <v>29</v>
      </c>
      <c r="E562" s="137">
        <v>164.42</v>
      </c>
      <c r="F562" s="141">
        <v>3.37</v>
      </c>
      <c r="G562" s="94">
        <f>E562*F562</f>
        <v>554.09539999999993</v>
      </c>
      <c r="H562" s="94">
        <v>5919.12</v>
      </c>
      <c r="I562" s="84"/>
      <c r="J562" s="84"/>
      <c r="K562" s="84"/>
      <c r="L562" s="119"/>
      <c r="M562" s="119"/>
      <c r="N562" s="119"/>
      <c r="O562" s="119"/>
      <c r="P562" s="94">
        <v>0</v>
      </c>
      <c r="Q562" s="38"/>
      <c r="R562" s="75"/>
      <c r="S562" s="51"/>
    </row>
    <row r="563" spans="1:19" ht="38.25" x14ac:dyDescent="0.25">
      <c r="A563" s="18"/>
      <c r="B563" s="122"/>
      <c r="C563" s="132" t="s">
        <v>49</v>
      </c>
      <c r="D563" s="100" t="s">
        <v>30</v>
      </c>
      <c r="E563" s="89">
        <f>SUM(E561:E562)</f>
        <v>2919.2960000000003</v>
      </c>
      <c r="F563" s="89"/>
      <c r="G563" s="87">
        <f t="shared" ref="G563:H563" si="173">SUM(G561:G562)</f>
        <v>9461.6230800000012</v>
      </c>
      <c r="H563" s="87">
        <f t="shared" si="173"/>
        <v>57751.76</v>
      </c>
      <c r="I563" s="87"/>
      <c r="J563" s="87"/>
      <c r="K563" s="87"/>
      <c r="L563" s="122"/>
      <c r="M563" s="122"/>
      <c r="N563" s="122"/>
      <c r="O563" s="122"/>
      <c r="P563" s="87">
        <v>0</v>
      </c>
      <c r="Q563" s="76"/>
      <c r="R563" s="77"/>
      <c r="S563" s="50"/>
    </row>
    <row r="564" spans="1:19" ht="25.5" x14ac:dyDescent="0.25">
      <c r="A564" s="16"/>
      <c r="B564" s="119"/>
      <c r="C564" s="136" t="s">
        <v>49</v>
      </c>
      <c r="D564" s="99" t="s">
        <v>31</v>
      </c>
      <c r="E564" s="137">
        <v>214.72</v>
      </c>
      <c r="F564" s="141">
        <v>3.37</v>
      </c>
      <c r="G564" s="94">
        <f>E564*F564</f>
        <v>723.60640000000001</v>
      </c>
      <c r="H564" s="94">
        <v>7729.92</v>
      </c>
      <c r="I564" s="84"/>
      <c r="J564" s="84"/>
      <c r="K564" s="84"/>
      <c r="L564" s="119"/>
      <c r="M564" s="119"/>
      <c r="N564" s="119"/>
      <c r="O564" s="119"/>
      <c r="P564" s="94">
        <v>0</v>
      </c>
      <c r="Q564" s="38"/>
      <c r="R564" s="75"/>
      <c r="S564" s="51"/>
    </row>
    <row r="565" spans="1:19" ht="38.25" x14ac:dyDescent="0.25">
      <c r="A565" s="16"/>
      <c r="B565" s="119"/>
      <c r="C565" s="136" t="s">
        <v>68</v>
      </c>
      <c r="D565" s="99"/>
      <c r="E565" s="137">
        <v>10.36</v>
      </c>
      <c r="F565" s="84">
        <v>0</v>
      </c>
      <c r="G565" s="94">
        <v>0</v>
      </c>
      <c r="H565" s="94">
        <v>0</v>
      </c>
      <c r="I565" s="84"/>
      <c r="J565" s="84"/>
      <c r="K565" s="84"/>
      <c r="L565" s="119"/>
      <c r="M565" s="119"/>
      <c r="N565" s="119"/>
      <c r="O565" s="119"/>
      <c r="P565" s="94"/>
      <c r="Q565" s="38"/>
      <c r="R565" s="75"/>
      <c r="S565" s="51"/>
    </row>
    <row r="566" spans="1:19" ht="39" customHeight="1" x14ac:dyDescent="0.25">
      <c r="A566" s="18"/>
      <c r="B566" s="122"/>
      <c r="C566" s="132" t="s">
        <v>49</v>
      </c>
      <c r="D566" s="100" t="s">
        <v>32</v>
      </c>
      <c r="E566" s="89">
        <f>SUM(E563:E565)</f>
        <v>3144.3760000000002</v>
      </c>
      <c r="F566" s="89"/>
      <c r="G566" s="87">
        <f t="shared" ref="G566:H566" si="174">SUM(G563:G565)</f>
        <v>10185.229480000002</v>
      </c>
      <c r="H566" s="87">
        <f t="shared" si="174"/>
        <v>65481.68</v>
      </c>
      <c r="I566" s="87"/>
      <c r="J566" s="87"/>
      <c r="K566" s="87"/>
      <c r="L566" s="122"/>
      <c r="M566" s="122"/>
      <c r="N566" s="122"/>
      <c r="O566" s="122"/>
      <c r="P566" s="87">
        <v>0</v>
      </c>
      <c r="Q566" s="76"/>
      <c r="R566" s="77"/>
      <c r="S566" s="50"/>
    </row>
    <row r="567" spans="1:19" ht="25.5" x14ac:dyDescent="0.25">
      <c r="A567" s="16"/>
      <c r="B567" s="119"/>
      <c r="C567" s="136" t="s">
        <v>49</v>
      </c>
      <c r="D567" s="99" t="s">
        <v>33</v>
      </c>
      <c r="E567" s="137">
        <v>226.66</v>
      </c>
      <c r="F567" s="141">
        <v>3.37</v>
      </c>
      <c r="G567" s="94">
        <f>E567*F567</f>
        <v>763.8442</v>
      </c>
      <c r="H567" s="94">
        <v>8159.76</v>
      </c>
      <c r="I567" s="84"/>
      <c r="J567" s="84"/>
      <c r="K567" s="84"/>
      <c r="L567" s="119"/>
      <c r="M567" s="119"/>
      <c r="N567" s="119"/>
      <c r="O567" s="119"/>
      <c r="P567" s="94">
        <v>0</v>
      </c>
      <c r="Q567" s="38"/>
      <c r="R567" s="75"/>
      <c r="S567" s="51"/>
    </row>
    <row r="568" spans="1:19" ht="38.25" x14ac:dyDescent="0.25">
      <c r="A568" s="18"/>
      <c r="B568" s="122"/>
      <c r="C568" s="132" t="s">
        <v>49</v>
      </c>
      <c r="D568" s="100" t="s">
        <v>35</v>
      </c>
      <c r="E568" s="89">
        <f>SUM(E566:E567)</f>
        <v>3371.0360000000001</v>
      </c>
      <c r="F568" s="89"/>
      <c r="G568" s="87">
        <f t="shared" ref="G568:H568" si="175">SUM(G566:G567)</f>
        <v>10949.073680000001</v>
      </c>
      <c r="H568" s="87">
        <f t="shared" si="175"/>
        <v>73641.440000000002</v>
      </c>
      <c r="I568" s="87"/>
      <c r="J568" s="87"/>
      <c r="K568" s="87"/>
      <c r="L568" s="122"/>
      <c r="M568" s="122"/>
      <c r="N568" s="122"/>
      <c r="O568" s="122"/>
      <c r="P568" s="87">
        <v>0</v>
      </c>
      <c r="Q568" s="76"/>
      <c r="R568" s="77"/>
      <c r="S568" s="50"/>
    </row>
    <row r="569" spans="1:19" ht="25.5" x14ac:dyDescent="0.25">
      <c r="A569" s="16"/>
      <c r="B569" s="119"/>
      <c r="C569" s="136" t="s">
        <v>49</v>
      </c>
      <c r="D569" s="99" t="s">
        <v>34</v>
      </c>
      <c r="E569" s="137">
        <v>202.8</v>
      </c>
      <c r="F569" s="141">
        <v>3.37</v>
      </c>
      <c r="G569" s="94">
        <f>E569*F569</f>
        <v>683.43600000000004</v>
      </c>
      <c r="H569" s="94">
        <v>7300.8</v>
      </c>
      <c r="I569" s="84"/>
      <c r="J569" s="84"/>
      <c r="K569" s="84"/>
      <c r="L569" s="119"/>
      <c r="M569" s="119"/>
      <c r="N569" s="119"/>
      <c r="O569" s="119"/>
      <c r="P569" s="84">
        <v>15360</v>
      </c>
      <c r="Q569" s="38"/>
      <c r="R569" s="75"/>
      <c r="S569" s="51"/>
    </row>
    <row r="570" spans="1:19" ht="38.25" x14ac:dyDescent="0.25">
      <c r="A570" s="18"/>
      <c r="B570" s="122"/>
      <c r="C570" s="132" t="s">
        <v>49</v>
      </c>
      <c r="D570" s="100" t="s">
        <v>36</v>
      </c>
      <c r="E570" s="89">
        <f>SUM(E568:E569)</f>
        <v>3573.8360000000002</v>
      </c>
      <c r="F570" s="89"/>
      <c r="G570" s="87">
        <f t="shared" ref="G570:H570" si="176">SUM(G568:G569)</f>
        <v>11632.509680000001</v>
      </c>
      <c r="H570" s="87">
        <f t="shared" si="176"/>
        <v>80942.240000000005</v>
      </c>
      <c r="I570" s="87"/>
      <c r="J570" s="87"/>
      <c r="K570" s="87"/>
      <c r="L570" s="122"/>
      <c r="M570" s="122"/>
      <c r="N570" s="122"/>
      <c r="O570" s="122"/>
      <c r="P570" s="87">
        <v>15360</v>
      </c>
      <c r="Q570" s="76"/>
      <c r="R570" s="77"/>
      <c r="S570" s="50"/>
    </row>
    <row r="571" spans="1:19" s="2" customFormat="1" ht="25.5" x14ac:dyDescent="0.25">
      <c r="A571" s="20"/>
      <c r="B571" s="129"/>
      <c r="C571" s="136" t="s">
        <v>49</v>
      </c>
      <c r="D571" s="99" t="s">
        <v>57</v>
      </c>
      <c r="E571" s="93">
        <v>170.86</v>
      </c>
      <c r="F571" s="94">
        <v>3.37</v>
      </c>
      <c r="G571" s="94">
        <f>E571*F571</f>
        <v>575.79820000000007</v>
      </c>
      <c r="H571" s="94">
        <v>6834.4</v>
      </c>
      <c r="I571" s="94"/>
      <c r="J571" s="94"/>
      <c r="K571" s="94"/>
      <c r="L571" s="129"/>
      <c r="M571" s="129"/>
      <c r="N571" s="129"/>
      <c r="O571" s="129"/>
      <c r="P571" s="94">
        <v>0</v>
      </c>
      <c r="Q571" s="73"/>
      <c r="R571" s="74"/>
      <c r="S571" s="47"/>
    </row>
    <row r="572" spans="1:19" s="2" customFormat="1" ht="43.5" customHeight="1" x14ac:dyDescent="0.25">
      <c r="A572" s="18"/>
      <c r="B572" s="122"/>
      <c r="C572" s="132" t="s">
        <v>49</v>
      </c>
      <c r="D572" s="100" t="s">
        <v>58</v>
      </c>
      <c r="E572" s="89">
        <f>SUM(E570:E571)</f>
        <v>3744.6960000000004</v>
      </c>
      <c r="F572" s="89"/>
      <c r="G572" s="87">
        <f t="shared" ref="G572:H572" si="177">SUM(G570:G571)</f>
        <v>12208.30788</v>
      </c>
      <c r="H572" s="87">
        <f t="shared" si="177"/>
        <v>87776.639999999999</v>
      </c>
      <c r="I572" s="87"/>
      <c r="J572" s="87"/>
      <c r="K572" s="87"/>
      <c r="L572" s="122"/>
      <c r="M572" s="122"/>
      <c r="N572" s="122"/>
      <c r="O572" s="122"/>
      <c r="P572" s="87">
        <v>15360</v>
      </c>
      <c r="Q572" s="76"/>
      <c r="R572" s="77"/>
      <c r="S572" s="50"/>
    </row>
    <row r="573" spans="1:19" s="2" customFormat="1" ht="25.5" x14ac:dyDescent="0.25">
      <c r="A573" s="20"/>
      <c r="B573" s="129"/>
      <c r="C573" s="136" t="s">
        <v>49</v>
      </c>
      <c r="D573" s="99" t="s">
        <v>61</v>
      </c>
      <c r="E573" s="93">
        <v>219.16</v>
      </c>
      <c r="F573" s="94">
        <v>3.37</v>
      </c>
      <c r="G573" s="94">
        <f>E573*F573</f>
        <v>738.56920000000002</v>
      </c>
      <c r="H573" s="94">
        <v>8766.4</v>
      </c>
      <c r="I573" s="94"/>
      <c r="J573" s="94"/>
      <c r="K573" s="94"/>
      <c r="L573" s="129"/>
      <c r="M573" s="129"/>
      <c r="N573" s="129"/>
      <c r="O573" s="129"/>
      <c r="P573" s="94">
        <v>23370.71</v>
      </c>
      <c r="Q573" s="73"/>
      <c r="R573" s="74"/>
      <c r="S573" s="47"/>
    </row>
    <row r="574" spans="1:19" s="2" customFormat="1" ht="39.75" customHeight="1" x14ac:dyDescent="0.25">
      <c r="A574" s="18"/>
      <c r="B574" s="122"/>
      <c r="C574" s="132" t="s">
        <v>49</v>
      </c>
      <c r="D574" s="100" t="s">
        <v>63</v>
      </c>
      <c r="E574" s="89">
        <f>SUM(E572:E573)</f>
        <v>3963.8560000000002</v>
      </c>
      <c r="F574" s="89"/>
      <c r="G574" s="87">
        <f t="shared" ref="G574:H574" si="178">SUM(G572:G573)</f>
        <v>12946.87708</v>
      </c>
      <c r="H574" s="87">
        <f t="shared" si="178"/>
        <v>96543.039999999994</v>
      </c>
      <c r="I574" s="87"/>
      <c r="J574" s="87"/>
      <c r="K574" s="87"/>
      <c r="L574" s="122"/>
      <c r="M574" s="122"/>
      <c r="N574" s="122"/>
      <c r="O574" s="122"/>
      <c r="P574" s="87">
        <f>SUM(P572:P573)</f>
        <v>38730.71</v>
      </c>
      <c r="Q574" s="76"/>
      <c r="R574" s="77"/>
      <c r="S574" s="50"/>
    </row>
    <row r="575" spans="1:19" s="2" customFormat="1" ht="26.25" customHeight="1" x14ac:dyDescent="0.25">
      <c r="A575" s="20"/>
      <c r="B575" s="129"/>
      <c r="C575" s="131" t="s">
        <v>49</v>
      </c>
      <c r="D575" s="99" t="s">
        <v>64</v>
      </c>
      <c r="E575" s="93">
        <v>265.82</v>
      </c>
      <c r="F575" s="94">
        <v>3.37</v>
      </c>
      <c r="G575" s="94">
        <f>E575*F575</f>
        <v>895.8134</v>
      </c>
      <c r="H575" s="94">
        <v>10632.8</v>
      </c>
      <c r="I575" s="94"/>
      <c r="J575" s="94"/>
      <c r="K575" s="94"/>
      <c r="L575" s="129"/>
      <c r="M575" s="129"/>
      <c r="N575" s="129"/>
      <c r="O575" s="129"/>
      <c r="P575" s="94">
        <v>0</v>
      </c>
      <c r="Q575" s="73"/>
      <c r="R575" s="74"/>
      <c r="S575" s="47"/>
    </row>
    <row r="576" spans="1:19" s="2" customFormat="1" ht="39" customHeight="1" x14ac:dyDescent="0.25">
      <c r="A576" s="20"/>
      <c r="B576" s="129"/>
      <c r="C576" s="131" t="s">
        <v>68</v>
      </c>
      <c r="D576" s="104"/>
      <c r="E576" s="93">
        <v>2.78</v>
      </c>
      <c r="F576" s="94">
        <v>0</v>
      </c>
      <c r="G576" s="94">
        <v>0</v>
      </c>
      <c r="H576" s="94">
        <v>0</v>
      </c>
      <c r="I576" s="94"/>
      <c r="J576" s="94"/>
      <c r="K576" s="94"/>
      <c r="L576" s="129"/>
      <c r="M576" s="129"/>
      <c r="N576" s="129"/>
      <c r="O576" s="129"/>
      <c r="P576" s="94"/>
      <c r="Q576" s="73"/>
      <c r="R576" s="74"/>
      <c r="S576" s="47"/>
    </row>
    <row r="577" spans="1:19" s="2" customFormat="1" ht="39.75" customHeight="1" x14ac:dyDescent="0.25">
      <c r="A577" s="18"/>
      <c r="B577" s="122"/>
      <c r="C577" s="132" t="s">
        <v>49</v>
      </c>
      <c r="D577" s="100" t="s">
        <v>65</v>
      </c>
      <c r="E577" s="89">
        <f>SUM(E574:E576)</f>
        <v>4232.4560000000001</v>
      </c>
      <c r="F577" s="89"/>
      <c r="G577" s="87">
        <f t="shared" ref="G577:H577" si="179">SUM(G574:G576)</f>
        <v>13842.690480000001</v>
      </c>
      <c r="H577" s="87">
        <f t="shared" si="179"/>
        <v>107175.84</v>
      </c>
      <c r="I577" s="87"/>
      <c r="J577" s="87"/>
      <c r="K577" s="87"/>
      <c r="L577" s="122"/>
      <c r="M577" s="122"/>
      <c r="N577" s="122"/>
      <c r="O577" s="122"/>
      <c r="P577" s="87">
        <v>38730.71</v>
      </c>
      <c r="Q577" s="76"/>
      <c r="R577" s="77"/>
      <c r="S577" s="50"/>
    </row>
    <row r="578" spans="1:19" s="2" customFormat="1" ht="27" customHeight="1" x14ac:dyDescent="0.25">
      <c r="A578" s="20"/>
      <c r="B578" s="129"/>
      <c r="C578" s="136" t="s">
        <v>49</v>
      </c>
      <c r="D578" s="99" t="s">
        <v>70</v>
      </c>
      <c r="E578" s="93">
        <v>128.94</v>
      </c>
      <c r="F578" s="94">
        <v>3.37</v>
      </c>
      <c r="G578" s="94">
        <v>434.52780000000001</v>
      </c>
      <c r="H578" s="94">
        <v>5157.6000000000004</v>
      </c>
      <c r="I578" s="94"/>
      <c r="J578" s="94"/>
      <c r="K578" s="94"/>
      <c r="L578" s="129"/>
      <c r="M578" s="129"/>
      <c r="N578" s="129"/>
      <c r="O578" s="129"/>
      <c r="P578" s="94">
        <v>0</v>
      </c>
      <c r="Q578" s="73"/>
      <c r="R578" s="74"/>
      <c r="S578" s="47"/>
    </row>
    <row r="579" spans="1:19" s="2" customFormat="1" ht="39.75" customHeight="1" x14ac:dyDescent="0.25">
      <c r="A579" s="18"/>
      <c r="B579" s="122"/>
      <c r="C579" s="132" t="s">
        <v>49</v>
      </c>
      <c r="D579" s="100" t="s">
        <v>69</v>
      </c>
      <c r="E579" s="89">
        <f>SUM(E577:E578)</f>
        <v>4361.3959999999997</v>
      </c>
      <c r="F579" s="89"/>
      <c r="G579" s="87">
        <f t="shared" ref="G579:H579" si="180">SUM(G577:G578)</f>
        <v>14277.218280000001</v>
      </c>
      <c r="H579" s="87">
        <f t="shared" si="180"/>
        <v>112333.44</v>
      </c>
      <c r="I579" s="87"/>
      <c r="J579" s="87"/>
      <c r="K579" s="87"/>
      <c r="L579" s="122"/>
      <c r="M579" s="122"/>
      <c r="N579" s="122"/>
      <c r="O579" s="122"/>
      <c r="P579" s="87">
        <v>38730.71</v>
      </c>
      <c r="Q579" s="76"/>
      <c r="R579" s="77"/>
      <c r="S579" s="50"/>
    </row>
    <row r="580" spans="1:19" s="2" customFormat="1" ht="30" customHeight="1" x14ac:dyDescent="0.25">
      <c r="A580" s="20"/>
      <c r="B580" s="129"/>
      <c r="C580" s="131" t="s">
        <v>49</v>
      </c>
      <c r="D580" s="99" t="s">
        <v>71</v>
      </c>
      <c r="E580" s="93">
        <v>172.72</v>
      </c>
      <c r="F580" s="94">
        <v>3.45</v>
      </c>
      <c r="G580" s="94">
        <v>595.88400000000001</v>
      </c>
      <c r="H580" s="94">
        <v>7772.4</v>
      </c>
      <c r="I580" s="94"/>
      <c r="J580" s="94"/>
      <c r="K580" s="94"/>
      <c r="L580" s="129"/>
      <c r="M580" s="129"/>
      <c r="N580" s="129"/>
      <c r="O580" s="129"/>
      <c r="P580" s="94">
        <v>0</v>
      </c>
      <c r="Q580" s="73"/>
      <c r="R580" s="74"/>
      <c r="S580" s="47"/>
    </row>
    <row r="581" spans="1:19" s="2" customFormat="1" ht="39.75" customHeight="1" x14ac:dyDescent="0.25">
      <c r="A581" s="18"/>
      <c r="B581" s="122"/>
      <c r="C581" s="132" t="s">
        <v>49</v>
      </c>
      <c r="D581" s="100" t="s">
        <v>72</v>
      </c>
      <c r="E581" s="89">
        <f>SUM(E579:E580)</f>
        <v>4534.116</v>
      </c>
      <c r="F581" s="89"/>
      <c r="G581" s="87">
        <f t="shared" ref="G581:H581" si="181">SUM(G579:G580)</f>
        <v>14873.102280000001</v>
      </c>
      <c r="H581" s="87">
        <f t="shared" si="181"/>
        <v>120105.84</v>
      </c>
      <c r="I581" s="87"/>
      <c r="J581" s="87"/>
      <c r="K581" s="87"/>
      <c r="L581" s="122"/>
      <c r="M581" s="122"/>
      <c r="N581" s="122"/>
      <c r="O581" s="122"/>
      <c r="P581" s="87">
        <v>38730.71</v>
      </c>
      <c r="Q581" s="76"/>
      <c r="R581" s="77"/>
      <c r="S581" s="50"/>
    </row>
    <row r="582" spans="1:19" s="2" customFormat="1" ht="27.75" customHeight="1" x14ac:dyDescent="0.25">
      <c r="A582" s="20"/>
      <c r="B582" s="129"/>
      <c r="C582" s="131" t="s">
        <v>49</v>
      </c>
      <c r="D582" s="99" t="s">
        <v>73</v>
      </c>
      <c r="E582" s="93">
        <v>258.83999999999997</v>
      </c>
      <c r="F582" s="94">
        <v>3.45</v>
      </c>
      <c r="G582" s="94">
        <f>E582*F582</f>
        <v>892.99799999999993</v>
      </c>
      <c r="H582" s="94">
        <f>E582*45</f>
        <v>11647.8</v>
      </c>
      <c r="I582" s="94"/>
      <c r="J582" s="94"/>
      <c r="K582" s="94"/>
      <c r="L582" s="129"/>
      <c r="M582" s="129"/>
      <c r="N582" s="129"/>
      <c r="O582" s="129"/>
      <c r="P582" s="94">
        <v>0</v>
      </c>
      <c r="Q582" s="73"/>
      <c r="R582" s="74"/>
      <c r="S582" s="47"/>
    </row>
    <row r="583" spans="1:19" s="2" customFormat="1" ht="39.75" customHeight="1" x14ac:dyDescent="0.25">
      <c r="A583" s="18"/>
      <c r="B583" s="122"/>
      <c r="C583" s="132" t="s">
        <v>49</v>
      </c>
      <c r="D583" s="100" t="s">
        <v>74</v>
      </c>
      <c r="E583" s="89">
        <f>SUM(E581:E582)</f>
        <v>4792.9560000000001</v>
      </c>
      <c r="F583" s="89"/>
      <c r="G583" s="87">
        <f t="shared" ref="G583:H583" si="182">SUM(G581:G582)</f>
        <v>15766.100280000001</v>
      </c>
      <c r="H583" s="87">
        <f t="shared" si="182"/>
        <v>131753.63999999998</v>
      </c>
      <c r="I583" s="87"/>
      <c r="J583" s="87"/>
      <c r="K583" s="87"/>
      <c r="L583" s="87"/>
      <c r="M583" s="122"/>
      <c r="N583" s="122"/>
      <c r="O583" s="122"/>
      <c r="P583" s="87">
        <v>38730.71</v>
      </c>
      <c r="Q583" s="76"/>
      <c r="R583" s="77"/>
      <c r="S583" s="50"/>
    </row>
    <row r="584" spans="1:19" s="2" customFormat="1" ht="30.75" customHeight="1" x14ac:dyDescent="0.25">
      <c r="A584" s="20"/>
      <c r="B584" s="129"/>
      <c r="C584" s="131" t="s">
        <v>49</v>
      </c>
      <c r="D584" s="99" t="s">
        <v>76</v>
      </c>
      <c r="E584" s="93">
        <v>240.86</v>
      </c>
      <c r="F584" s="94">
        <v>3.45</v>
      </c>
      <c r="G584" s="94">
        <f>E584*F584</f>
        <v>830.9670000000001</v>
      </c>
      <c r="H584" s="94">
        <f>E584*45</f>
        <v>10838.7</v>
      </c>
      <c r="I584" s="94"/>
      <c r="J584" s="94"/>
      <c r="K584" s="94"/>
      <c r="L584" s="94"/>
      <c r="M584" s="129"/>
      <c r="N584" s="129"/>
      <c r="O584" s="129"/>
      <c r="P584" s="94">
        <v>0</v>
      </c>
      <c r="Q584" s="73"/>
      <c r="R584" s="74"/>
      <c r="S584" s="47"/>
    </row>
    <row r="585" spans="1:19" s="2" customFormat="1" ht="39.75" customHeight="1" x14ac:dyDescent="0.25">
      <c r="A585" s="20"/>
      <c r="B585" s="129"/>
      <c r="C585" s="131" t="s">
        <v>68</v>
      </c>
      <c r="D585" s="104"/>
      <c r="E585" s="93">
        <v>9.4</v>
      </c>
      <c r="F585" s="94">
        <v>0</v>
      </c>
      <c r="G585" s="94">
        <v>0</v>
      </c>
      <c r="H585" s="94">
        <v>0</v>
      </c>
      <c r="I585" s="94"/>
      <c r="J585" s="94"/>
      <c r="K585" s="94"/>
      <c r="L585" s="94"/>
      <c r="M585" s="129"/>
      <c r="N585" s="129"/>
      <c r="O585" s="129"/>
      <c r="P585" s="94"/>
      <c r="Q585" s="73"/>
      <c r="R585" s="74"/>
      <c r="S585" s="47"/>
    </row>
    <row r="586" spans="1:19" s="2" customFormat="1" ht="39.75" customHeight="1" x14ac:dyDescent="0.25">
      <c r="A586" s="18"/>
      <c r="B586" s="122"/>
      <c r="C586" s="132" t="s">
        <v>49</v>
      </c>
      <c r="D586" s="100" t="s">
        <v>77</v>
      </c>
      <c r="E586" s="89">
        <f>SUM(E583:E585)</f>
        <v>5043.2159999999994</v>
      </c>
      <c r="F586" s="89"/>
      <c r="G586" s="87">
        <f>SUM(G583:G585)</f>
        <v>16597.067279999999</v>
      </c>
      <c r="H586" s="87">
        <f>SUM(H583:H585)</f>
        <v>142592.34</v>
      </c>
      <c r="I586" s="87"/>
      <c r="J586" s="87"/>
      <c r="K586" s="87"/>
      <c r="L586" s="87"/>
      <c r="M586" s="122"/>
      <c r="N586" s="122"/>
      <c r="O586" s="122"/>
      <c r="P586" s="87">
        <v>38730.71</v>
      </c>
      <c r="Q586" s="76"/>
      <c r="R586" s="77"/>
      <c r="S586" s="50"/>
    </row>
    <row r="587" spans="1:19" s="2" customFormat="1" ht="29.25" customHeight="1" x14ac:dyDescent="0.25">
      <c r="A587" s="20"/>
      <c r="B587" s="129"/>
      <c r="C587" s="131" t="s">
        <v>49</v>
      </c>
      <c r="D587" s="99" t="s">
        <v>78</v>
      </c>
      <c r="E587" s="93">
        <v>68.739999999999995</v>
      </c>
      <c r="F587" s="94">
        <v>3.45</v>
      </c>
      <c r="G587" s="94">
        <f>E587*F587</f>
        <v>237.15299999999999</v>
      </c>
      <c r="H587" s="94">
        <f>E587*45</f>
        <v>3093.2999999999997</v>
      </c>
      <c r="I587" s="94"/>
      <c r="J587" s="94"/>
      <c r="K587" s="94"/>
      <c r="L587" s="94"/>
      <c r="M587" s="129"/>
      <c r="N587" s="129"/>
      <c r="O587" s="129"/>
      <c r="P587" s="94">
        <v>18722.68</v>
      </c>
      <c r="Q587" s="73"/>
      <c r="R587" s="74"/>
      <c r="S587" s="47"/>
    </row>
    <row r="588" spans="1:19" s="2" customFormat="1" ht="39.75" customHeight="1" x14ac:dyDescent="0.25">
      <c r="A588" s="18"/>
      <c r="B588" s="122"/>
      <c r="C588" s="132" t="s">
        <v>49</v>
      </c>
      <c r="D588" s="100" t="s">
        <v>79</v>
      </c>
      <c r="E588" s="89">
        <f>SUM(E586:E587)</f>
        <v>5111.9559999999992</v>
      </c>
      <c r="F588" s="89"/>
      <c r="G588" s="87">
        <f t="shared" ref="G588:H588" si="183">SUM(G586:G587)</f>
        <v>16834.220279999998</v>
      </c>
      <c r="H588" s="87">
        <f t="shared" si="183"/>
        <v>145685.63999999998</v>
      </c>
      <c r="I588" s="87"/>
      <c r="J588" s="87"/>
      <c r="K588" s="87"/>
      <c r="L588" s="87"/>
      <c r="M588" s="122"/>
      <c r="N588" s="122"/>
      <c r="O588" s="122"/>
      <c r="P588" s="87">
        <f>P586+P587</f>
        <v>57453.39</v>
      </c>
      <c r="Q588" s="76"/>
      <c r="R588" s="77"/>
      <c r="S588" s="50"/>
    </row>
    <row r="589" spans="1:19" s="2" customFormat="1" ht="26.25" customHeight="1" x14ac:dyDescent="0.25">
      <c r="A589" s="20"/>
      <c r="B589" s="129"/>
      <c r="C589" s="131" t="s">
        <v>49</v>
      </c>
      <c r="D589" s="99" t="s">
        <v>82</v>
      </c>
      <c r="E589" s="93">
        <v>73.319999999999993</v>
      </c>
      <c r="F589" s="94">
        <v>3.45</v>
      </c>
      <c r="G589" s="94">
        <f>E589*F589</f>
        <v>252.95399999999998</v>
      </c>
      <c r="H589" s="94">
        <f>E589*57</f>
        <v>4179.24</v>
      </c>
      <c r="I589" s="94"/>
      <c r="J589" s="94"/>
      <c r="K589" s="94"/>
      <c r="L589" s="94"/>
      <c r="M589" s="129"/>
      <c r="N589" s="129"/>
      <c r="O589" s="129"/>
      <c r="P589" s="94">
        <v>65650.820000000007</v>
      </c>
      <c r="Q589" s="73"/>
      <c r="R589" s="74"/>
      <c r="S589" s="47"/>
    </row>
    <row r="590" spans="1:19" s="2" customFormat="1" ht="39.75" customHeight="1" x14ac:dyDescent="0.25">
      <c r="A590" s="18"/>
      <c r="B590" s="122"/>
      <c r="C590" s="132" t="s">
        <v>49</v>
      </c>
      <c r="D590" s="100" t="s">
        <v>81</v>
      </c>
      <c r="E590" s="89">
        <f>SUM(E588:E589)</f>
        <v>5185.2759999999989</v>
      </c>
      <c r="F590" s="89"/>
      <c r="G590" s="87">
        <f t="shared" ref="G590:P590" si="184">SUM(G588:G589)</f>
        <v>17087.174279999999</v>
      </c>
      <c r="H590" s="87">
        <f t="shared" si="184"/>
        <v>149864.87999999998</v>
      </c>
      <c r="I590" s="87"/>
      <c r="J590" s="87"/>
      <c r="K590" s="87"/>
      <c r="L590" s="87"/>
      <c r="M590" s="87"/>
      <c r="N590" s="87"/>
      <c r="O590" s="87"/>
      <c r="P590" s="87">
        <f t="shared" si="184"/>
        <v>123104.21</v>
      </c>
      <c r="Q590" s="76"/>
      <c r="R590" s="77"/>
      <c r="S590" s="50"/>
    </row>
    <row r="591" spans="1:19" s="2" customFormat="1" ht="25.5" customHeight="1" x14ac:dyDescent="0.25">
      <c r="A591" s="20"/>
      <c r="B591" s="129"/>
      <c r="C591" s="131" t="s">
        <v>49</v>
      </c>
      <c r="D591" s="99" t="s">
        <v>84</v>
      </c>
      <c r="E591" s="93">
        <v>163.78</v>
      </c>
      <c r="F591" s="94">
        <v>3.45</v>
      </c>
      <c r="G591" s="94">
        <f>E591*F591</f>
        <v>565.04100000000005</v>
      </c>
      <c r="H591" s="94">
        <f>E591*57</f>
        <v>9335.4600000000009</v>
      </c>
      <c r="I591" s="94"/>
      <c r="J591" s="94"/>
      <c r="K591" s="94"/>
      <c r="L591" s="94"/>
      <c r="M591" s="94"/>
      <c r="N591" s="94"/>
      <c r="O591" s="94"/>
      <c r="P591" s="94">
        <v>0</v>
      </c>
      <c r="Q591" s="73"/>
      <c r="R591" s="74"/>
      <c r="S591" s="47"/>
    </row>
    <row r="592" spans="1:19" s="2" customFormat="1" ht="39.75" customHeight="1" x14ac:dyDescent="0.25">
      <c r="A592" s="18"/>
      <c r="B592" s="122"/>
      <c r="C592" s="132" t="s">
        <v>49</v>
      </c>
      <c r="D592" s="100" t="s">
        <v>86</v>
      </c>
      <c r="E592" s="89">
        <f>SUM(E590:E591)</f>
        <v>5349.0559999999987</v>
      </c>
      <c r="F592" s="89"/>
      <c r="G592" s="87">
        <f t="shared" ref="G592:P592" si="185">SUM(G590:G591)</f>
        <v>17652.21528</v>
      </c>
      <c r="H592" s="87">
        <f t="shared" si="185"/>
        <v>159200.33999999997</v>
      </c>
      <c r="I592" s="87"/>
      <c r="J592" s="87"/>
      <c r="K592" s="87"/>
      <c r="L592" s="87"/>
      <c r="M592" s="87"/>
      <c r="N592" s="87"/>
      <c r="O592" s="87"/>
      <c r="P592" s="87">
        <f t="shared" si="185"/>
        <v>123104.21</v>
      </c>
      <c r="Q592" s="76"/>
      <c r="R592" s="77"/>
      <c r="S592" s="50"/>
    </row>
    <row r="593" spans="1:19" s="2" customFormat="1" ht="28.5" customHeight="1" x14ac:dyDescent="0.25">
      <c r="A593" s="20"/>
      <c r="B593" s="129"/>
      <c r="C593" s="131" t="s">
        <v>49</v>
      </c>
      <c r="D593" s="99" t="s">
        <v>89</v>
      </c>
      <c r="E593" s="93">
        <v>282.06</v>
      </c>
      <c r="F593" s="94">
        <v>3.45</v>
      </c>
      <c r="G593" s="94">
        <f>E593*F593</f>
        <v>973.10700000000008</v>
      </c>
      <c r="H593" s="94">
        <f>E593*57</f>
        <v>16077.42</v>
      </c>
      <c r="I593" s="94"/>
      <c r="J593" s="94"/>
      <c r="K593" s="94"/>
      <c r="L593" s="94"/>
      <c r="M593" s="94"/>
      <c r="N593" s="94"/>
      <c r="O593" s="94"/>
      <c r="P593" s="94">
        <v>0</v>
      </c>
      <c r="Q593" s="73"/>
      <c r="R593" s="74"/>
      <c r="S593" s="47"/>
    </row>
    <row r="594" spans="1:19" s="2" customFormat="1" ht="39.75" customHeight="1" x14ac:dyDescent="0.25">
      <c r="A594" s="20"/>
      <c r="B594" s="129"/>
      <c r="C594" s="131" t="s">
        <v>68</v>
      </c>
      <c r="D594" s="104"/>
      <c r="E594" s="93">
        <v>3.08</v>
      </c>
      <c r="F594" s="93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73"/>
      <c r="R594" s="74"/>
      <c r="S594" s="47"/>
    </row>
    <row r="595" spans="1:19" s="2" customFormat="1" ht="39.75" customHeight="1" x14ac:dyDescent="0.25">
      <c r="A595" s="18"/>
      <c r="B595" s="122"/>
      <c r="C595" s="132" t="s">
        <v>49</v>
      </c>
      <c r="D595" s="100" t="s">
        <v>90</v>
      </c>
      <c r="E595" s="89">
        <f>SUM(E592:E594)</f>
        <v>5634.195999999999</v>
      </c>
      <c r="F595" s="89"/>
      <c r="G595" s="87">
        <f t="shared" ref="G595:P595" si="186">SUM(G592:G594)</f>
        <v>18625.32228</v>
      </c>
      <c r="H595" s="87">
        <f t="shared" si="186"/>
        <v>175277.75999999998</v>
      </c>
      <c r="I595" s="87"/>
      <c r="J595" s="87"/>
      <c r="K595" s="87"/>
      <c r="L595" s="87"/>
      <c r="M595" s="87"/>
      <c r="N595" s="87"/>
      <c r="O595" s="87"/>
      <c r="P595" s="87">
        <f t="shared" si="186"/>
        <v>123104.21</v>
      </c>
      <c r="Q595" s="76"/>
      <c r="R595" s="77"/>
      <c r="S595" s="50"/>
    </row>
    <row r="596" spans="1:19" s="2" customFormat="1" ht="31.5" customHeight="1" x14ac:dyDescent="0.25">
      <c r="A596" s="20"/>
      <c r="B596" s="129"/>
      <c r="C596" s="131" t="s">
        <v>49</v>
      </c>
      <c r="D596" s="99" t="s">
        <v>93</v>
      </c>
      <c r="E596" s="93">
        <v>227.34</v>
      </c>
      <c r="F596" s="94">
        <v>3.45</v>
      </c>
      <c r="G596" s="94">
        <f>E596*F596</f>
        <v>784.32300000000009</v>
      </c>
      <c r="H596" s="94">
        <f>E596*57</f>
        <v>12958.380000000001</v>
      </c>
      <c r="I596" s="94"/>
      <c r="J596" s="94"/>
      <c r="K596" s="94"/>
      <c r="L596" s="94"/>
      <c r="M596" s="94"/>
      <c r="N596" s="94"/>
      <c r="O596" s="94"/>
      <c r="P596" s="94">
        <v>0</v>
      </c>
      <c r="Q596" s="73"/>
      <c r="R596" s="74"/>
      <c r="S596" s="47"/>
    </row>
    <row r="597" spans="1:19" s="2" customFormat="1" ht="39.75" customHeight="1" x14ac:dyDescent="0.25">
      <c r="A597" s="18"/>
      <c r="B597" s="122"/>
      <c r="C597" s="132" t="s">
        <v>49</v>
      </c>
      <c r="D597" s="100" t="s">
        <v>94</v>
      </c>
      <c r="E597" s="89">
        <f>SUM(E595:E596)</f>
        <v>5861.5359999999991</v>
      </c>
      <c r="F597" s="89"/>
      <c r="G597" s="87">
        <f t="shared" ref="G597:H597" si="187">SUM(G595:G596)</f>
        <v>19409.645280000001</v>
      </c>
      <c r="H597" s="87">
        <f t="shared" si="187"/>
        <v>188236.13999999998</v>
      </c>
      <c r="I597" s="87"/>
      <c r="J597" s="87"/>
      <c r="K597" s="87"/>
      <c r="L597" s="87"/>
      <c r="M597" s="87"/>
      <c r="N597" s="87"/>
      <c r="O597" s="87"/>
      <c r="P597" s="87">
        <v>123104.21</v>
      </c>
      <c r="Q597" s="76"/>
      <c r="R597" s="77"/>
      <c r="S597" s="50"/>
    </row>
    <row r="598" spans="1:19" s="2" customFormat="1" ht="92.25" customHeight="1" x14ac:dyDescent="0.25">
      <c r="A598" s="20"/>
      <c r="B598" s="129"/>
      <c r="C598" s="131" t="s">
        <v>49</v>
      </c>
      <c r="D598" s="99" t="s">
        <v>96</v>
      </c>
      <c r="E598" s="93">
        <v>198.82</v>
      </c>
      <c r="F598" s="94">
        <v>5.6</v>
      </c>
      <c r="G598" s="94">
        <f>E598*F598</f>
        <v>1113.3919999999998</v>
      </c>
      <c r="H598" s="94">
        <v>18239.46</v>
      </c>
      <c r="I598" s="94"/>
      <c r="J598" s="94"/>
      <c r="K598" s="94"/>
      <c r="L598" s="94"/>
      <c r="M598" s="94"/>
      <c r="N598" s="94"/>
      <c r="O598" s="94"/>
      <c r="P598" s="220" t="s">
        <v>126</v>
      </c>
      <c r="Q598" s="73"/>
      <c r="R598" s="74"/>
      <c r="S598" s="217" t="s">
        <v>100</v>
      </c>
    </row>
    <row r="599" spans="1:19" s="2" customFormat="1" ht="42.75" customHeight="1" x14ac:dyDescent="0.25">
      <c r="A599" s="18"/>
      <c r="B599" s="122"/>
      <c r="C599" s="132" t="s">
        <v>49</v>
      </c>
      <c r="D599" s="100" t="s">
        <v>97</v>
      </c>
      <c r="E599" s="89">
        <f>SUM(E597:E598)</f>
        <v>6060.3559999999989</v>
      </c>
      <c r="F599" s="89"/>
      <c r="G599" s="87">
        <f t="shared" ref="G599:H599" si="188">SUM(G597:G598)</f>
        <v>20523.03728</v>
      </c>
      <c r="H599" s="87">
        <f t="shared" si="188"/>
        <v>206475.59999999998</v>
      </c>
      <c r="I599" s="87"/>
      <c r="J599" s="87"/>
      <c r="K599" s="87"/>
      <c r="L599" s="87"/>
      <c r="M599" s="87"/>
      <c r="N599" s="87"/>
      <c r="O599" s="87"/>
      <c r="P599" s="221" t="s">
        <v>127</v>
      </c>
      <c r="Q599" s="76"/>
      <c r="R599" s="77"/>
      <c r="S599" s="50"/>
    </row>
    <row r="600" spans="1:19" s="2" customFormat="1" ht="33" customHeight="1" x14ac:dyDescent="0.25">
      <c r="A600" s="20"/>
      <c r="B600" s="129"/>
      <c r="C600" s="131" t="s">
        <v>49</v>
      </c>
      <c r="D600" s="99" t="s">
        <v>119</v>
      </c>
      <c r="E600" s="93">
        <v>242.62</v>
      </c>
      <c r="F600" s="94">
        <v>5.6</v>
      </c>
      <c r="G600" s="94">
        <f>E600*F600</f>
        <v>1358.672</v>
      </c>
      <c r="H600" s="94">
        <f>E600*69</f>
        <v>16740.78</v>
      </c>
      <c r="I600" s="94"/>
      <c r="J600" s="94"/>
      <c r="K600" s="94"/>
      <c r="L600" s="94"/>
      <c r="M600" s="94"/>
      <c r="N600" s="94"/>
      <c r="O600" s="94"/>
      <c r="P600" s="220" t="s">
        <v>128</v>
      </c>
      <c r="Q600" s="73"/>
      <c r="R600" s="74"/>
      <c r="S600" s="47"/>
    </row>
    <row r="601" spans="1:19" s="2" customFormat="1" ht="42.75" customHeight="1" x14ac:dyDescent="0.25">
      <c r="A601" s="18"/>
      <c r="B601" s="122"/>
      <c r="C601" s="132" t="s">
        <v>49</v>
      </c>
      <c r="D601" s="100" t="s">
        <v>120</v>
      </c>
      <c r="E601" s="89">
        <f>SUM(E599:E600)</f>
        <v>6302.9759999999987</v>
      </c>
      <c r="F601" s="89"/>
      <c r="G601" s="87">
        <f t="shared" ref="G601:H601" si="189">SUM(G599:G600)</f>
        <v>21881.709279999999</v>
      </c>
      <c r="H601" s="87">
        <f t="shared" si="189"/>
        <v>223216.37999999998</v>
      </c>
      <c r="I601" s="87"/>
      <c r="J601" s="87"/>
      <c r="K601" s="87"/>
      <c r="L601" s="87"/>
      <c r="M601" s="87"/>
      <c r="N601" s="87"/>
      <c r="O601" s="87"/>
      <c r="P601" s="221" t="s">
        <v>136</v>
      </c>
      <c r="Q601" s="76"/>
      <c r="R601" s="77"/>
      <c r="S601" s="50"/>
    </row>
    <row r="602" spans="1:19" s="2" customFormat="1" ht="31.5" customHeight="1" x14ac:dyDescent="0.25">
      <c r="A602" s="20"/>
      <c r="B602" s="129"/>
      <c r="C602" s="131" t="s">
        <v>49</v>
      </c>
      <c r="D602" s="99" t="s">
        <v>139</v>
      </c>
      <c r="E602" s="93">
        <v>288.52</v>
      </c>
      <c r="F602" s="94">
        <v>5.6</v>
      </c>
      <c r="G602" s="94">
        <f>SUM(E602*F602)</f>
        <v>1615.7119999999998</v>
      </c>
      <c r="H602" s="94">
        <f>SUM(E602*69)</f>
        <v>19907.879999999997</v>
      </c>
      <c r="I602" s="94"/>
      <c r="J602" s="94"/>
      <c r="K602" s="94"/>
      <c r="L602" s="94"/>
      <c r="M602" s="94"/>
      <c r="N602" s="94"/>
      <c r="O602" s="94"/>
      <c r="P602" s="220">
        <v>0</v>
      </c>
      <c r="Q602" s="73"/>
      <c r="R602" s="74"/>
      <c r="S602" s="47"/>
    </row>
    <row r="603" spans="1:19" s="2" customFormat="1" ht="42.75" customHeight="1" x14ac:dyDescent="0.25">
      <c r="A603" s="18"/>
      <c r="B603" s="122"/>
      <c r="C603" s="132" t="s">
        <v>49</v>
      </c>
      <c r="D603" s="100" t="s">
        <v>140</v>
      </c>
      <c r="E603" s="89">
        <f>SUM(E601:E602)</f>
        <v>6591.4959999999992</v>
      </c>
      <c r="F603" s="89"/>
      <c r="G603" s="87">
        <f t="shared" ref="G603:H603" si="190">SUM(G601:G602)</f>
        <v>23497.421279999999</v>
      </c>
      <c r="H603" s="87">
        <f t="shared" si="190"/>
        <v>243124.25999999998</v>
      </c>
      <c r="I603" s="87"/>
      <c r="J603" s="87"/>
      <c r="K603" s="87"/>
      <c r="L603" s="87"/>
      <c r="M603" s="87"/>
      <c r="N603" s="87"/>
      <c r="O603" s="87"/>
      <c r="P603" s="221" t="s">
        <v>136</v>
      </c>
      <c r="Q603" s="76"/>
      <c r="R603" s="77"/>
      <c r="S603" s="50"/>
    </row>
    <row r="604" spans="1:19" s="2" customFormat="1" ht="47.25" customHeight="1" x14ac:dyDescent="0.25">
      <c r="A604" s="20"/>
      <c r="B604" s="129"/>
      <c r="C604" s="131" t="s">
        <v>49</v>
      </c>
      <c r="D604" s="99" t="s">
        <v>144</v>
      </c>
      <c r="E604" s="93">
        <v>250</v>
      </c>
      <c r="F604" s="94">
        <v>5.6</v>
      </c>
      <c r="G604" s="94">
        <f>SUM(E604*F604)</f>
        <v>1400</v>
      </c>
      <c r="H604" s="94">
        <f>SUM(E604*69)</f>
        <v>17250</v>
      </c>
      <c r="I604" s="180"/>
      <c r="K604" s="94"/>
      <c r="L604" s="94"/>
      <c r="M604" s="94"/>
      <c r="N604" s="94"/>
      <c r="O604" s="94"/>
      <c r="P604" s="220" t="s">
        <v>156</v>
      </c>
      <c r="Q604" s="73"/>
      <c r="R604" s="74"/>
      <c r="S604" s="47"/>
    </row>
    <row r="605" spans="1:19" s="2" customFormat="1" ht="42.75" customHeight="1" x14ac:dyDescent="0.25">
      <c r="A605" s="18"/>
      <c r="B605" s="122"/>
      <c r="C605" s="132" t="s">
        <v>49</v>
      </c>
      <c r="D605" s="100" t="s">
        <v>145</v>
      </c>
      <c r="E605" s="89">
        <f>SUM(E603:E604)</f>
        <v>6841.4959999999992</v>
      </c>
      <c r="F605" s="89"/>
      <c r="G605" s="87">
        <f>SUM(G603:G604)</f>
        <v>24897.421279999999</v>
      </c>
      <c r="H605" s="87">
        <f>SUM(H603:H604)</f>
        <v>260374.25999999998</v>
      </c>
      <c r="I605" s="87"/>
      <c r="J605" s="87"/>
      <c r="K605" s="87"/>
      <c r="L605" s="87"/>
      <c r="M605" s="87"/>
      <c r="N605" s="87"/>
      <c r="O605" s="87"/>
      <c r="P605" s="221" t="s">
        <v>163</v>
      </c>
      <c r="Q605" s="76"/>
      <c r="R605" s="77"/>
      <c r="S605" s="50"/>
    </row>
    <row r="606" spans="1:19" s="2" customFormat="1" ht="42.75" customHeight="1" x14ac:dyDescent="0.25">
      <c r="A606" s="20"/>
      <c r="B606" s="129"/>
      <c r="C606" s="131" t="s">
        <v>49</v>
      </c>
      <c r="D606" s="99" t="s">
        <v>165</v>
      </c>
      <c r="E606" s="93">
        <v>215.08</v>
      </c>
      <c r="F606" s="94">
        <v>5.6</v>
      </c>
      <c r="G606" s="94">
        <f>E606*F606</f>
        <v>1204.4480000000001</v>
      </c>
      <c r="H606" s="94">
        <f>E606*82</f>
        <v>17636.560000000001</v>
      </c>
      <c r="I606" s="94"/>
      <c r="J606" s="94"/>
      <c r="K606" s="94"/>
      <c r="L606" s="94"/>
      <c r="M606" s="94"/>
      <c r="N606" s="94"/>
      <c r="O606" s="94"/>
      <c r="P606" s="220" t="s">
        <v>184</v>
      </c>
      <c r="Q606" s="73"/>
      <c r="R606" s="74"/>
      <c r="S606" s="47"/>
    </row>
    <row r="607" spans="1:19" s="2" customFormat="1" ht="42.75" customHeight="1" x14ac:dyDescent="0.25">
      <c r="A607" s="18"/>
      <c r="B607" s="122"/>
      <c r="C607" s="132" t="s">
        <v>49</v>
      </c>
      <c r="D607" s="100" t="s">
        <v>167</v>
      </c>
      <c r="E607" s="89">
        <f>SUM(E605:E606)</f>
        <v>7056.5759999999991</v>
      </c>
      <c r="F607" s="89"/>
      <c r="G607" s="87">
        <f t="shared" ref="G607:H607" si="191">SUM(G605:G606)</f>
        <v>26101.869279999999</v>
      </c>
      <c r="H607" s="87">
        <f t="shared" si="191"/>
        <v>278010.82</v>
      </c>
      <c r="I607" s="87"/>
      <c r="J607" s="87"/>
      <c r="K607" s="87"/>
      <c r="L607" s="87"/>
      <c r="M607" s="87"/>
      <c r="N607" s="87"/>
      <c r="O607" s="87"/>
      <c r="P607" s="221" t="s">
        <v>185</v>
      </c>
      <c r="Q607" s="76"/>
      <c r="R607" s="77"/>
      <c r="S607" s="50"/>
    </row>
    <row r="608" spans="1:19" s="2" customFormat="1" ht="42.75" customHeight="1" x14ac:dyDescent="0.25">
      <c r="A608" s="20"/>
      <c r="B608" s="129"/>
      <c r="C608" s="131" t="s">
        <v>49</v>
      </c>
      <c r="D608" s="99" t="s">
        <v>166</v>
      </c>
      <c r="E608" s="93">
        <v>264.98</v>
      </c>
      <c r="F608" s="94">
        <v>5.6</v>
      </c>
      <c r="G608" s="94">
        <f>88.02*5.6</f>
        <v>492.91199999999992</v>
      </c>
      <c r="H608" s="94">
        <f>88.02*82</f>
        <v>7217.6399999999994</v>
      </c>
      <c r="I608" s="94">
        <f>176.96*5.6</f>
        <v>990.976</v>
      </c>
      <c r="J608" s="94">
        <f>176.96*82</f>
        <v>14510.720000000001</v>
      </c>
      <c r="K608" s="94"/>
      <c r="L608" s="94"/>
      <c r="M608" s="94"/>
      <c r="N608" s="94"/>
      <c r="O608" s="94"/>
      <c r="P608" s="220">
        <v>0</v>
      </c>
      <c r="Q608" s="73"/>
      <c r="R608" s="74"/>
      <c r="S608" s="47"/>
    </row>
    <row r="609" spans="1:21" s="2" customFormat="1" ht="42.75" customHeight="1" x14ac:dyDescent="0.25">
      <c r="A609" s="18"/>
      <c r="B609" s="122"/>
      <c r="C609" s="132" t="s">
        <v>49</v>
      </c>
      <c r="D609" s="100" t="s">
        <v>168</v>
      </c>
      <c r="E609" s="89">
        <f>SUM(E607:E608)</f>
        <v>7321.5559999999987</v>
      </c>
      <c r="F609" s="89"/>
      <c r="G609" s="87">
        <f t="shared" ref="G609:J609" si="192">SUM(G607:G608)</f>
        <v>26594.781279999999</v>
      </c>
      <c r="H609" s="87">
        <f t="shared" si="192"/>
        <v>285228.46000000002</v>
      </c>
      <c r="I609" s="87">
        <f t="shared" si="192"/>
        <v>990.976</v>
      </c>
      <c r="J609" s="87">
        <f t="shared" si="192"/>
        <v>14510.720000000001</v>
      </c>
      <c r="K609" s="87"/>
      <c r="L609" s="87"/>
      <c r="M609" s="87"/>
      <c r="N609" s="87"/>
      <c r="O609" s="87"/>
      <c r="P609" s="221" t="s">
        <v>185</v>
      </c>
      <c r="Q609" s="76"/>
      <c r="R609" s="77"/>
      <c r="S609" s="50"/>
    </row>
    <row r="610" spans="1:21" s="236" customFormat="1" ht="42.75" customHeight="1" x14ac:dyDescent="0.25">
      <c r="A610" s="230"/>
      <c r="B610" s="237"/>
      <c r="C610" s="131" t="s">
        <v>49</v>
      </c>
      <c r="D610" s="99" t="s">
        <v>195</v>
      </c>
      <c r="E610" s="231">
        <v>282.38</v>
      </c>
      <c r="F610" s="94">
        <v>5.6</v>
      </c>
      <c r="G610" s="94">
        <f>176.96*5.6</f>
        <v>990.976</v>
      </c>
      <c r="H610" s="94">
        <f>176.96*82</f>
        <v>14510.720000000001</v>
      </c>
      <c r="I610" s="232">
        <f>E610*5.6</f>
        <v>1581.328</v>
      </c>
      <c r="J610" s="232">
        <f>E610*82</f>
        <v>23155.16</v>
      </c>
      <c r="K610" s="232"/>
      <c r="L610" s="232"/>
      <c r="M610" s="232"/>
      <c r="N610" s="232"/>
      <c r="O610" s="232"/>
      <c r="P610" s="233" t="s">
        <v>199</v>
      </c>
      <c r="Q610" s="247"/>
      <c r="R610" s="248"/>
      <c r="S610" s="235"/>
    </row>
    <row r="611" spans="1:21" s="2" customFormat="1" ht="42.75" customHeight="1" x14ac:dyDescent="0.25">
      <c r="A611" s="18"/>
      <c r="B611" s="122"/>
      <c r="C611" s="132" t="s">
        <v>49</v>
      </c>
      <c r="D611" s="100" t="s">
        <v>196</v>
      </c>
      <c r="E611" s="89">
        <f>SUM(E609:E610)</f>
        <v>7603.9359999999988</v>
      </c>
      <c r="F611" s="89"/>
      <c r="G611" s="87">
        <f>SUM(G609:G610)</f>
        <v>27585.757279999998</v>
      </c>
      <c r="H611" s="87">
        <f>SUM(H609:H610)</f>
        <v>299739.18000000005</v>
      </c>
      <c r="I611" s="87">
        <v>1581.33</v>
      </c>
      <c r="J611" s="87">
        <v>23155.16</v>
      </c>
      <c r="K611" s="87"/>
      <c r="L611" s="87"/>
      <c r="M611" s="87"/>
      <c r="N611" s="87"/>
      <c r="O611" s="87"/>
      <c r="P611" s="221" t="s">
        <v>200</v>
      </c>
      <c r="Q611" s="76"/>
      <c r="R611" s="77"/>
      <c r="S611" s="50"/>
    </row>
    <row r="612" spans="1:21" s="236" customFormat="1" ht="42.75" customHeight="1" x14ac:dyDescent="0.25">
      <c r="A612" s="230"/>
      <c r="B612" s="237"/>
      <c r="C612" s="131" t="s">
        <v>49</v>
      </c>
      <c r="D612" s="99" t="s">
        <v>201</v>
      </c>
      <c r="E612" s="231">
        <v>241.97</v>
      </c>
      <c r="F612" s="94">
        <v>5.6</v>
      </c>
      <c r="G612" s="232">
        <f>361.44*5.6</f>
        <v>2024.0639999999999</v>
      </c>
      <c r="H612" s="232">
        <f>361.44*82</f>
        <v>29638.079999999998</v>
      </c>
      <c r="I612" s="232">
        <f>162.91*5.6</f>
        <v>912.29599999999994</v>
      </c>
      <c r="J612" s="232">
        <f>162.91*82</f>
        <v>13358.619999999999</v>
      </c>
      <c r="K612" s="232"/>
      <c r="L612" s="232"/>
      <c r="M612" s="232"/>
      <c r="N612" s="232"/>
      <c r="O612" s="232"/>
      <c r="P612" s="220">
        <v>0</v>
      </c>
      <c r="Q612" s="247"/>
      <c r="R612" s="248"/>
      <c r="S612" s="235"/>
    </row>
    <row r="613" spans="1:21" s="2" customFormat="1" ht="42.75" customHeight="1" x14ac:dyDescent="0.25">
      <c r="A613" s="18"/>
      <c r="B613" s="122"/>
      <c r="C613" s="132" t="s">
        <v>49</v>
      </c>
      <c r="D613" s="100" t="s">
        <v>202</v>
      </c>
      <c r="E613" s="89">
        <f>SUM(E611:E612)</f>
        <v>7845.905999999999</v>
      </c>
      <c r="F613" s="89"/>
      <c r="G613" s="87">
        <f>SUM(G611:G612)</f>
        <v>29609.821279999996</v>
      </c>
      <c r="H613" s="87">
        <f>SUM(H611:H612)</f>
        <v>329377.26000000007</v>
      </c>
      <c r="I613" s="87">
        <v>912.3</v>
      </c>
      <c r="J613" s="87">
        <v>13358.62</v>
      </c>
      <c r="K613" s="87"/>
      <c r="L613" s="87"/>
      <c r="M613" s="87"/>
      <c r="N613" s="87"/>
      <c r="O613" s="87"/>
      <c r="P613" s="221" t="s">
        <v>200</v>
      </c>
      <c r="Q613" s="76"/>
      <c r="R613" s="77"/>
      <c r="S613" s="50"/>
    </row>
    <row r="614" spans="1:21" s="236" customFormat="1" ht="42.75" customHeight="1" x14ac:dyDescent="0.25">
      <c r="A614" s="230"/>
      <c r="B614" s="237"/>
      <c r="C614" s="131" t="s">
        <v>49</v>
      </c>
      <c r="D614" s="99" t="s">
        <v>208</v>
      </c>
      <c r="E614" s="231">
        <v>182</v>
      </c>
      <c r="F614" s="94">
        <v>5.6</v>
      </c>
      <c r="G614" s="232"/>
      <c r="H614" s="232"/>
      <c r="I614" s="232">
        <f>182*5.6</f>
        <v>1019.1999999999999</v>
      </c>
      <c r="J614" s="232">
        <f>182*95</f>
        <v>17290</v>
      </c>
      <c r="K614" s="232"/>
      <c r="L614" s="232"/>
      <c r="M614" s="232"/>
      <c r="N614" s="232"/>
      <c r="O614" s="232"/>
      <c r="P614" s="233"/>
      <c r="Q614" s="247"/>
      <c r="R614" s="248"/>
      <c r="S614" s="235"/>
    </row>
    <row r="615" spans="1:21" s="2" customFormat="1" ht="42.75" customHeight="1" x14ac:dyDescent="0.25">
      <c r="A615" s="18"/>
      <c r="B615" s="122"/>
      <c r="C615" s="132" t="s">
        <v>49</v>
      </c>
      <c r="D615" s="100" t="s">
        <v>209</v>
      </c>
      <c r="E615" s="89">
        <f>SUM(E613:E614)</f>
        <v>8027.905999999999</v>
      </c>
      <c r="F615" s="89"/>
      <c r="G615" s="87">
        <f>SUM(G613:G614)</f>
        <v>29609.821279999996</v>
      </c>
      <c r="H615" s="87">
        <f>SUM(H613:H614)</f>
        <v>329377.26000000007</v>
      </c>
      <c r="I615" s="87">
        <f>SUM(I613:I614)</f>
        <v>1931.5</v>
      </c>
      <c r="J615" s="87">
        <f>SUM(J613:J614)</f>
        <v>30648.620000000003</v>
      </c>
      <c r="K615" s="87"/>
      <c r="L615" s="87"/>
      <c r="M615" s="87"/>
      <c r="N615" s="87"/>
      <c r="O615" s="87"/>
      <c r="P615" s="221" t="s">
        <v>200</v>
      </c>
      <c r="Q615" s="76"/>
      <c r="R615" s="77"/>
      <c r="S615" s="50"/>
    </row>
    <row r="616" spans="1:21" s="236" customFormat="1" ht="42.75" customHeight="1" x14ac:dyDescent="0.25">
      <c r="A616" s="230"/>
      <c r="B616" s="237"/>
      <c r="C616" s="131" t="s">
        <v>49</v>
      </c>
      <c r="D616" s="99" t="s">
        <v>215</v>
      </c>
      <c r="E616" s="231">
        <v>254.68</v>
      </c>
      <c r="F616" s="94">
        <v>5.6</v>
      </c>
      <c r="G616" s="232">
        <f>278.41*5.6</f>
        <v>1559.096</v>
      </c>
      <c r="H616" s="232">
        <f>13358.62+115.5*95</f>
        <v>24331.120000000003</v>
      </c>
      <c r="I616" s="232">
        <f>321.18*5.6</f>
        <v>1798.6079999999999</v>
      </c>
      <c r="J616" s="232">
        <f>321.18*95</f>
        <v>30512.100000000002</v>
      </c>
      <c r="K616" s="232"/>
      <c r="L616" s="232"/>
      <c r="M616" s="232"/>
      <c r="N616" s="232"/>
      <c r="O616" s="232"/>
      <c r="P616" s="233"/>
      <c r="Q616" s="247"/>
      <c r="R616" s="248"/>
      <c r="S616" s="235"/>
    </row>
    <row r="617" spans="1:21" s="2" customFormat="1" ht="42.75" customHeight="1" x14ac:dyDescent="0.25">
      <c r="A617" s="18"/>
      <c r="B617" s="122"/>
      <c r="C617" s="132" t="s">
        <v>49</v>
      </c>
      <c r="D617" s="100" t="s">
        <v>216</v>
      </c>
      <c r="E617" s="89">
        <f>SUM(E615:E616)</f>
        <v>8282.5859999999993</v>
      </c>
      <c r="F617" s="89"/>
      <c r="G617" s="87">
        <f>SUM(G615:G616)</f>
        <v>31168.917279999998</v>
      </c>
      <c r="H617" s="87">
        <f>SUM(H615:H616)</f>
        <v>353708.38000000006</v>
      </c>
      <c r="I617" s="87">
        <v>1798.61</v>
      </c>
      <c r="J617" s="87">
        <v>30512.1</v>
      </c>
      <c r="K617" s="87"/>
      <c r="L617" s="87"/>
      <c r="M617" s="87"/>
      <c r="N617" s="87"/>
      <c r="O617" s="87"/>
      <c r="P617" s="221" t="s">
        <v>200</v>
      </c>
      <c r="Q617" s="76"/>
      <c r="R617" s="77"/>
      <c r="S617" s="50"/>
    </row>
    <row r="618" spans="1:21" s="2" customFormat="1" ht="42.75" customHeight="1" x14ac:dyDescent="0.25">
      <c r="A618" s="20"/>
      <c r="B618" s="129"/>
      <c r="C618" s="131" t="s">
        <v>49</v>
      </c>
      <c r="D618" s="99" t="s">
        <v>218</v>
      </c>
      <c r="E618" s="93">
        <v>243.38</v>
      </c>
      <c r="F618" s="94">
        <v>5.6</v>
      </c>
      <c r="G618" s="94">
        <f>321.18*5.6</f>
        <v>1798.6079999999999</v>
      </c>
      <c r="H618" s="94">
        <f>321.18*95</f>
        <v>30512.100000000002</v>
      </c>
      <c r="I618" s="94">
        <f>243.38*5.6</f>
        <v>1362.9279999999999</v>
      </c>
      <c r="J618" s="94">
        <f>243.38*95</f>
        <v>23121.1</v>
      </c>
      <c r="K618" s="94"/>
      <c r="L618" s="94"/>
      <c r="M618" s="94"/>
      <c r="N618" s="94"/>
      <c r="O618" s="94"/>
      <c r="P618" s="220"/>
      <c r="Q618" s="73"/>
      <c r="R618" s="74"/>
      <c r="S618" s="47"/>
    </row>
    <row r="619" spans="1:21" s="2" customFormat="1" ht="42.75" customHeight="1" x14ac:dyDescent="0.25">
      <c r="A619" s="18"/>
      <c r="B619" s="122"/>
      <c r="C619" s="132" t="s">
        <v>49</v>
      </c>
      <c r="D619" s="100" t="s">
        <v>219</v>
      </c>
      <c r="E619" s="89">
        <f>SUM(E617:E618)</f>
        <v>8525.9659999999985</v>
      </c>
      <c r="F619" s="89"/>
      <c r="G619" s="87">
        <f>SUM(G617:G618)</f>
        <v>32967.525279999994</v>
      </c>
      <c r="H619" s="87">
        <f>SUM(H617:H618)</f>
        <v>384220.48000000004</v>
      </c>
      <c r="I619" s="87">
        <v>1362.93</v>
      </c>
      <c r="J619" s="87">
        <v>23121.1</v>
      </c>
      <c r="K619" s="87"/>
      <c r="L619" s="87"/>
      <c r="M619" s="87"/>
      <c r="N619" s="87"/>
      <c r="O619" s="87"/>
      <c r="P619" s="221" t="s">
        <v>200</v>
      </c>
      <c r="Q619" s="76"/>
      <c r="R619" s="77"/>
      <c r="S619" s="50"/>
    </row>
    <row r="620" spans="1:21" s="236" customFormat="1" ht="42.75" customHeight="1" x14ac:dyDescent="0.25">
      <c r="A620" s="230"/>
      <c r="B620" s="237"/>
      <c r="C620" s="131" t="s">
        <v>49</v>
      </c>
      <c r="D620" s="99" t="s">
        <v>227</v>
      </c>
      <c r="E620" s="231">
        <v>224.9</v>
      </c>
      <c r="F620" s="94">
        <v>5.6</v>
      </c>
      <c r="G620" s="232">
        <f>1362.93+154.42*5.6</f>
        <v>2227.6819999999998</v>
      </c>
      <c r="H620" s="232">
        <f>23121.1+154.42*95</f>
        <v>37791</v>
      </c>
      <c r="I620" s="232">
        <f>70.48*5.6</f>
        <v>394.68799999999999</v>
      </c>
      <c r="J620" s="232">
        <f>70.48*95</f>
        <v>6695.6</v>
      </c>
      <c r="K620" s="232"/>
      <c r="L620" s="232"/>
      <c r="M620" s="232"/>
      <c r="N620" s="232"/>
      <c r="O620" s="232"/>
      <c r="P620" s="233" t="s">
        <v>242</v>
      </c>
      <c r="Q620" s="247"/>
      <c r="R620" s="248"/>
      <c r="S620" s="235"/>
    </row>
    <row r="621" spans="1:21" s="2" customFormat="1" ht="42.75" customHeight="1" x14ac:dyDescent="0.25">
      <c r="A621" s="18"/>
      <c r="B621" s="122"/>
      <c r="C621" s="132" t="s">
        <v>49</v>
      </c>
      <c r="D621" s="100" t="s">
        <v>228</v>
      </c>
      <c r="E621" s="89">
        <f>SUM(E619:E620)</f>
        <v>8750.8659999999982</v>
      </c>
      <c r="F621" s="89"/>
      <c r="G621" s="87">
        <f>SUM(G619:G620)</f>
        <v>35195.207279999995</v>
      </c>
      <c r="H621" s="87">
        <f>SUM(H619:H620)</f>
        <v>422011.48000000004</v>
      </c>
      <c r="I621" s="87">
        <v>394.69</v>
      </c>
      <c r="J621" s="87">
        <v>6695.6</v>
      </c>
      <c r="K621" s="87"/>
      <c r="L621" s="87"/>
      <c r="M621" s="87"/>
      <c r="N621" s="87"/>
      <c r="O621" s="87"/>
      <c r="P621" s="221" t="s">
        <v>243</v>
      </c>
      <c r="Q621" s="76"/>
      <c r="R621" s="77"/>
      <c r="S621" s="50"/>
    </row>
    <row r="622" spans="1:21" x14ac:dyDescent="0.25">
      <c r="A622" s="23"/>
      <c r="B622" s="23"/>
      <c r="C622" s="23"/>
      <c r="D622" s="36"/>
      <c r="E622" s="53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72"/>
      <c r="S622" s="55"/>
    </row>
    <row r="623" spans="1:21" ht="27" customHeight="1" x14ac:dyDescent="0.25">
      <c r="A623" s="16"/>
      <c r="B623" s="115" t="s">
        <v>40</v>
      </c>
      <c r="C623" s="136" t="s">
        <v>50</v>
      </c>
      <c r="D623" s="160">
        <v>2011</v>
      </c>
      <c r="E623" s="161">
        <v>79.16</v>
      </c>
      <c r="F623" s="141">
        <v>3.18</v>
      </c>
      <c r="G623" s="94">
        <f>E623*F623</f>
        <v>251.72880000000001</v>
      </c>
      <c r="H623" s="94">
        <v>237.48</v>
      </c>
      <c r="I623" s="84"/>
      <c r="J623" s="84"/>
      <c r="K623" s="84"/>
      <c r="L623" s="119"/>
      <c r="M623" s="119"/>
      <c r="N623" s="119"/>
      <c r="O623" s="119"/>
      <c r="P623" s="84">
        <v>0</v>
      </c>
      <c r="Q623" s="38"/>
      <c r="R623" s="75"/>
      <c r="S623" s="51"/>
    </row>
    <row r="624" spans="1:21" ht="30" customHeight="1" x14ac:dyDescent="0.25">
      <c r="A624" s="16"/>
      <c r="B624" s="119"/>
      <c r="C624" s="136" t="s">
        <v>50</v>
      </c>
      <c r="D624" s="160">
        <v>2012</v>
      </c>
      <c r="E624" s="161">
        <v>45.88</v>
      </c>
      <c r="F624" s="141">
        <v>3.18</v>
      </c>
      <c r="G624" s="94">
        <f>E624*F624</f>
        <v>145.89840000000001</v>
      </c>
      <c r="H624" s="94">
        <v>412.92</v>
      </c>
      <c r="I624" s="84"/>
      <c r="J624" s="84"/>
      <c r="K624" s="84"/>
      <c r="L624" s="119"/>
      <c r="M624" s="119"/>
      <c r="N624" s="119"/>
      <c r="O624" s="119"/>
      <c r="P624" s="84">
        <v>0</v>
      </c>
      <c r="Q624" s="38"/>
      <c r="R624" s="75"/>
      <c r="S624" s="51"/>
      <c r="U624" s="2"/>
    </row>
    <row r="625" spans="1:19" ht="38.25" customHeight="1" x14ac:dyDescent="0.25">
      <c r="A625" s="18"/>
      <c r="B625" s="122"/>
      <c r="C625" s="132" t="s">
        <v>50</v>
      </c>
      <c r="D625" s="96" t="s">
        <v>25</v>
      </c>
      <c r="E625" s="89">
        <f>SUM(E623:E624)</f>
        <v>125.03999999999999</v>
      </c>
      <c r="F625" s="89"/>
      <c r="G625" s="87">
        <f t="shared" ref="G625:H625" si="193">SUM(G623:G624)</f>
        <v>397.62720000000002</v>
      </c>
      <c r="H625" s="87">
        <f t="shared" si="193"/>
        <v>650.4</v>
      </c>
      <c r="I625" s="87"/>
      <c r="J625" s="87"/>
      <c r="K625" s="87"/>
      <c r="L625" s="122"/>
      <c r="M625" s="122"/>
      <c r="N625" s="122"/>
      <c r="O625" s="122"/>
      <c r="P625" s="87">
        <v>0</v>
      </c>
      <c r="Q625" s="76"/>
      <c r="R625" s="77"/>
      <c r="S625" s="50"/>
    </row>
    <row r="626" spans="1:19" ht="30" customHeight="1" x14ac:dyDescent="0.25">
      <c r="A626" s="16"/>
      <c r="B626" s="119"/>
      <c r="C626" s="136" t="s">
        <v>50</v>
      </c>
      <c r="D626" s="160">
        <v>2013</v>
      </c>
      <c r="E626" s="161">
        <v>63.84</v>
      </c>
      <c r="F626" s="141">
        <v>3.18</v>
      </c>
      <c r="G626" s="142">
        <f>E626*F626</f>
        <v>203.01120000000003</v>
      </c>
      <c r="H626" s="142">
        <v>957.6</v>
      </c>
      <c r="I626" s="92"/>
      <c r="J626" s="92"/>
      <c r="K626" s="84"/>
      <c r="L626" s="119"/>
      <c r="M626" s="119"/>
      <c r="N626" s="119"/>
      <c r="O626" s="119"/>
      <c r="P626" s="84">
        <v>0</v>
      </c>
      <c r="Q626" s="38"/>
      <c r="R626" s="75"/>
      <c r="S626" s="51"/>
    </row>
    <row r="627" spans="1:19" ht="39" customHeight="1" x14ac:dyDescent="0.25">
      <c r="A627" s="18"/>
      <c r="B627" s="122"/>
      <c r="C627" s="132" t="s">
        <v>50</v>
      </c>
      <c r="D627" s="96" t="s">
        <v>38</v>
      </c>
      <c r="E627" s="89">
        <f>SUM(E625:E626)</f>
        <v>188.88</v>
      </c>
      <c r="F627" s="89"/>
      <c r="G627" s="87">
        <f t="shared" ref="G627:H627" si="194">SUM(G625:G626)</f>
        <v>600.63840000000005</v>
      </c>
      <c r="H627" s="87">
        <f t="shared" si="194"/>
        <v>1608</v>
      </c>
      <c r="I627" s="87"/>
      <c r="J627" s="87"/>
      <c r="K627" s="87"/>
      <c r="L627" s="122"/>
      <c r="M627" s="122"/>
      <c r="N627" s="122"/>
      <c r="O627" s="122"/>
      <c r="P627" s="87">
        <v>0</v>
      </c>
      <c r="Q627" s="76"/>
      <c r="R627" s="77"/>
      <c r="S627" s="50"/>
    </row>
    <row r="628" spans="1:19" ht="30.75" customHeight="1" x14ac:dyDescent="0.25">
      <c r="A628" s="16"/>
      <c r="B628" s="119"/>
      <c r="C628" s="136" t="s">
        <v>50</v>
      </c>
      <c r="D628" s="160">
        <v>2014</v>
      </c>
      <c r="E628" s="161">
        <v>47.28</v>
      </c>
      <c r="F628" s="141">
        <v>3.18</v>
      </c>
      <c r="G628" s="94">
        <f>E628*F628</f>
        <v>150.35040000000001</v>
      </c>
      <c r="H628" s="94">
        <v>1040.1600000000001</v>
      </c>
      <c r="I628" s="84"/>
      <c r="J628" s="84"/>
      <c r="K628" s="84"/>
      <c r="L628" s="119"/>
      <c r="M628" s="119"/>
      <c r="N628" s="119"/>
      <c r="O628" s="119"/>
      <c r="P628" s="84">
        <v>0</v>
      </c>
      <c r="Q628" s="38"/>
      <c r="R628" s="75"/>
      <c r="S628" s="51"/>
    </row>
    <row r="629" spans="1:19" ht="37.5" customHeight="1" x14ac:dyDescent="0.25">
      <c r="A629" s="18"/>
      <c r="B629" s="122"/>
      <c r="C629" s="132" t="s">
        <v>50</v>
      </c>
      <c r="D629" s="96" t="s">
        <v>24</v>
      </c>
      <c r="E629" s="89">
        <f>SUM(E627:E628)</f>
        <v>236.16</v>
      </c>
      <c r="F629" s="89"/>
      <c r="G629" s="87">
        <f t="shared" ref="G629:H629" si="195">SUM(G627:G628)</f>
        <v>750.98880000000008</v>
      </c>
      <c r="H629" s="87">
        <f t="shared" si="195"/>
        <v>2648.16</v>
      </c>
      <c r="I629" s="87"/>
      <c r="J629" s="87"/>
      <c r="K629" s="87"/>
      <c r="L629" s="122"/>
      <c r="M629" s="122"/>
      <c r="N629" s="122"/>
      <c r="O629" s="122"/>
      <c r="P629" s="87">
        <v>0</v>
      </c>
      <c r="Q629" s="76"/>
      <c r="R629" s="77"/>
      <c r="S629" s="50"/>
    </row>
    <row r="630" spans="1:19" ht="27" customHeight="1" x14ac:dyDescent="0.25">
      <c r="A630" s="16"/>
      <c r="B630" s="119"/>
      <c r="C630" s="136" t="s">
        <v>50</v>
      </c>
      <c r="D630" s="160">
        <v>2015</v>
      </c>
      <c r="E630" s="161">
        <v>334.6</v>
      </c>
      <c r="F630" s="141">
        <v>3.37</v>
      </c>
      <c r="G630" s="94">
        <f>E630*F630</f>
        <v>1127.6020000000001</v>
      </c>
      <c r="H630" s="94">
        <v>9368.7999999999993</v>
      </c>
      <c r="I630" s="84"/>
      <c r="J630" s="84"/>
      <c r="K630" s="84"/>
      <c r="L630" s="119"/>
      <c r="M630" s="119"/>
      <c r="N630" s="119"/>
      <c r="O630" s="119"/>
      <c r="P630" s="84">
        <v>0</v>
      </c>
      <c r="Q630" s="38"/>
      <c r="R630" s="75"/>
      <c r="S630" s="51"/>
    </row>
    <row r="631" spans="1:19" ht="36" customHeight="1" x14ac:dyDescent="0.25">
      <c r="A631" s="18"/>
      <c r="B631" s="122"/>
      <c r="C631" s="132" t="s">
        <v>50</v>
      </c>
      <c r="D631" s="96" t="s">
        <v>26</v>
      </c>
      <c r="E631" s="89">
        <f>SUM(E629:E630)</f>
        <v>570.76</v>
      </c>
      <c r="F631" s="89"/>
      <c r="G631" s="87">
        <f t="shared" ref="G631:H631" si="196">SUM(G629:G630)</f>
        <v>1878.5908000000002</v>
      </c>
      <c r="H631" s="87">
        <f t="shared" si="196"/>
        <v>12016.96</v>
      </c>
      <c r="I631" s="87"/>
      <c r="J631" s="87"/>
      <c r="K631" s="87"/>
      <c r="L631" s="122"/>
      <c r="M631" s="122"/>
      <c r="N631" s="122"/>
      <c r="O631" s="122"/>
      <c r="P631" s="87">
        <v>0</v>
      </c>
      <c r="Q631" s="76"/>
      <c r="R631" s="77"/>
      <c r="S631" s="50"/>
    </row>
    <row r="632" spans="1:19" ht="29.25" customHeight="1" x14ac:dyDescent="0.25">
      <c r="A632" s="16"/>
      <c r="B632" s="119"/>
      <c r="C632" s="136" t="s">
        <v>50</v>
      </c>
      <c r="D632" s="99" t="s">
        <v>29</v>
      </c>
      <c r="E632" s="137">
        <v>114.82</v>
      </c>
      <c r="F632" s="92">
        <v>3.37</v>
      </c>
      <c r="G632" s="94">
        <f>E632*F632</f>
        <v>386.9434</v>
      </c>
      <c r="H632" s="94">
        <v>4133.5200000000004</v>
      </c>
      <c r="I632" s="84"/>
      <c r="J632" s="84"/>
      <c r="K632" s="84"/>
      <c r="L632" s="119"/>
      <c r="M632" s="119"/>
      <c r="N632" s="119"/>
      <c r="O632" s="119"/>
      <c r="P632" s="84">
        <v>0</v>
      </c>
      <c r="Q632" s="38"/>
      <c r="R632" s="75"/>
      <c r="S632" s="51"/>
    </row>
    <row r="633" spans="1:19" ht="38.25" x14ac:dyDescent="0.25">
      <c r="A633" s="18"/>
      <c r="B633" s="122"/>
      <c r="C633" s="132" t="s">
        <v>50</v>
      </c>
      <c r="D633" s="100" t="s">
        <v>30</v>
      </c>
      <c r="E633" s="89">
        <f>SUM(E631:E632)</f>
        <v>685.57999999999993</v>
      </c>
      <c r="F633" s="89"/>
      <c r="G633" s="87">
        <f t="shared" ref="G633:H633" si="197">SUM(G631:G632)</f>
        <v>2265.5342000000001</v>
      </c>
      <c r="H633" s="87">
        <f t="shared" si="197"/>
        <v>16150.48</v>
      </c>
      <c r="I633" s="87"/>
      <c r="J633" s="87"/>
      <c r="K633" s="87"/>
      <c r="L633" s="122"/>
      <c r="M633" s="122"/>
      <c r="N633" s="122"/>
      <c r="O633" s="122"/>
      <c r="P633" s="87">
        <v>0</v>
      </c>
      <c r="Q633" s="76"/>
      <c r="R633" s="77"/>
      <c r="S633" s="50"/>
    </row>
    <row r="634" spans="1:19" ht="27.75" customHeight="1" x14ac:dyDescent="0.25">
      <c r="A634" s="16"/>
      <c r="B634" s="119"/>
      <c r="C634" s="136" t="s">
        <v>50</v>
      </c>
      <c r="D634" s="99" t="s">
        <v>31</v>
      </c>
      <c r="E634" s="137">
        <v>145.1</v>
      </c>
      <c r="F634" s="92">
        <v>3.37</v>
      </c>
      <c r="G634" s="94">
        <f>E634*F634</f>
        <v>488.98700000000002</v>
      </c>
      <c r="H634" s="94">
        <v>5223.6000000000004</v>
      </c>
      <c r="I634" s="84"/>
      <c r="J634" s="84"/>
      <c r="K634" s="84"/>
      <c r="L634" s="119"/>
      <c r="M634" s="119"/>
      <c r="N634" s="119"/>
      <c r="O634" s="119"/>
      <c r="P634" s="84">
        <v>0</v>
      </c>
      <c r="Q634" s="38"/>
      <c r="R634" s="75"/>
      <c r="S634" s="51"/>
    </row>
    <row r="635" spans="1:19" ht="40.5" customHeight="1" x14ac:dyDescent="0.25">
      <c r="A635" s="16"/>
      <c r="B635" s="119"/>
      <c r="C635" s="99" t="s">
        <v>53</v>
      </c>
      <c r="E635" s="137">
        <v>11.68</v>
      </c>
      <c r="F635" s="84">
        <v>0</v>
      </c>
      <c r="G635" s="94">
        <v>0</v>
      </c>
      <c r="H635" s="94">
        <v>0</v>
      </c>
      <c r="I635" s="84"/>
      <c r="J635" s="84"/>
      <c r="K635" s="84"/>
      <c r="L635" s="119"/>
      <c r="M635" s="119"/>
      <c r="N635" s="119"/>
      <c r="O635" s="119"/>
      <c r="P635" s="84"/>
      <c r="Q635" s="38"/>
      <c r="R635" s="75"/>
      <c r="S635" s="51"/>
    </row>
    <row r="636" spans="1:19" ht="38.25" x14ac:dyDescent="0.25">
      <c r="A636" s="18"/>
      <c r="B636" s="122"/>
      <c r="C636" s="132" t="s">
        <v>50</v>
      </c>
      <c r="D636" s="100" t="s">
        <v>32</v>
      </c>
      <c r="E636" s="89">
        <f>SUM(E633:E635)</f>
        <v>842.3599999999999</v>
      </c>
      <c r="F636" s="89"/>
      <c r="G636" s="87">
        <f t="shared" ref="G636:H636" si="198">SUM(G633:G635)</f>
        <v>2754.5212000000001</v>
      </c>
      <c r="H636" s="87">
        <f t="shared" si="198"/>
        <v>21374.080000000002</v>
      </c>
      <c r="I636" s="87"/>
      <c r="J636" s="87"/>
      <c r="K636" s="87"/>
      <c r="L636" s="122"/>
      <c r="M636" s="122"/>
      <c r="N636" s="122"/>
      <c r="O636" s="122"/>
      <c r="P636" s="87">
        <v>0</v>
      </c>
      <c r="Q636" s="76"/>
      <c r="R636" s="77"/>
      <c r="S636" s="50"/>
    </row>
    <row r="637" spans="1:19" ht="29.25" customHeight="1" x14ac:dyDescent="0.25">
      <c r="A637" s="16"/>
      <c r="B637" s="119"/>
      <c r="C637" s="136" t="s">
        <v>50</v>
      </c>
      <c r="D637" s="99" t="s">
        <v>33</v>
      </c>
      <c r="E637" s="137">
        <v>175.3</v>
      </c>
      <c r="F637" s="92">
        <v>3.37</v>
      </c>
      <c r="G637" s="94">
        <f>E637*F637</f>
        <v>590.76100000000008</v>
      </c>
      <c r="H637" s="94">
        <v>6310.8</v>
      </c>
      <c r="I637" s="84"/>
      <c r="J637" s="84"/>
      <c r="K637" s="84"/>
      <c r="L637" s="119"/>
      <c r="M637" s="119"/>
      <c r="N637" s="119"/>
      <c r="O637" s="119"/>
      <c r="P637" s="84">
        <v>0</v>
      </c>
      <c r="Q637" s="38"/>
      <c r="R637" s="75"/>
      <c r="S637" s="51"/>
    </row>
    <row r="638" spans="1:19" ht="38.25" x14ac:dyDescent="0.25">
      <c r="A638" s="18"/>
      <c r="B638" s="122"/>
      <c r="C638" s="132" t="s">
        <v>50</v>
      </c>
      <c r="D638" s="100" t="s">
        <v>35</v>
      </c>
      <c r="E638" s="89">
        <f>SUM(E636:E637)</f>
        <v>1017.6599999999999</v>
      </c>
      <c r="F638" s="89"/>
      <c r="G638" s="87">
        <f t="shared" ref="G638:H638" si="199">SUM(G636:G637)</f>
        <v>3345.2822000000001</v>
      </c>
      <c r="H638" s="87">
        <f t="shared" si="199"/>
        <v>27684.880000000001</v>
      </c>
      <c r="I638" s="87"/>
      <c r="J638" s="87"/>
      <c r="K638" s="87"/>
      <c r="L638" s="122"/>
      <c r="M638" s="122"/>
      <c r="N638" s="122"/>
      <c r="O638" s="122"/>
      <c r="P638" s="87">
        <v>0</v>
      </c>
      <c r="Q638" s="76"/>
      <c r="R638" s="77"/>
      <c r="S638" s="50"/>
    </row>
    <row r="639" spans="1:19" ht="30.75" customHeight="1" x14ac:dyDescent="0.25">
      <c r="A639" s="16"/>
      <c r="B639" s="119"/>
      <c r="C639" s="136" t="s">
        <v>50</v>
      </c>
      <c r="D639" s="99" t="s">
        <v>34</v>
      </c>
      <c r="E639" s="137">
        <v>139.58000000000001</v>
      </c>
      <c r="F639" s="92">
        <v>3.37</v>
      </c>
      <c r="G639" s="94">
        <f>E639*F639</f>
        <v>470.38460000000003</v>
      </c>
      <c r="H639" s="94">
        <v>5024.88</v>
      </c>
      <c r="I639" s="84"/>
      <c r="J639" s="84"/>
      <c r="K639" s="84"/>
      <c r="L639" s="119"/>
      <c r="M639" s="119"/>
      <c r="N639" s="119"/>
      <c r="O639" s="119"/>
      <c r="P639" s="84">
        <v>0</v>
      </c>
      <c r="Q639" s="38"/>
      <c r="R639" s="75"/>
      <c r="S639" s="51"/>
    </row>
    <row r="640" spans="1:19" ht="38.25" x14ac:dyDescent="0.25">
      <c r="A640" s="18"/>
      <c r="B640" s="122"/>
      <c r="C640" s="132" t="s">
        <v>50</v>
      </c>
      <c r="D640" s="100" t="s">
        <v>36</v>
      </c>
      <c r="E640" s="89">
        <f>SUM(E638:E639)</f>
        <v>1157.2399999999998</v>
      </c>
      <c r="F640" s="89"/>
      <c r="G640" s="87">
        <f t="shared" ref="G640:H640" si="200">SUM(G638:G639)</f>
        <v>3815.6668</v>
      </c>
      <c r="H640" s="87">
        <f t="shared" si="200"/>
        <v>32709.760000000002</v>
      </c>
      <c r="I640" s="87"/>
      <c r="J640" s="87"/>
      <c r="K640" s="87"/>
      <c r="L640" s="122"/>
      <c r="M640" s="122"/>
      <c r="N640" s="122"/>
      <c r="O640" s="122"/>
      <c r="P640" s="87">
        <v>0</v>
      </c>
      <c r="Q640" s="76"/>
      <c r="R640" s="77"/>
      <c r="S640" s="50"/>
    </row>
    <row r="641" spans="1:19" s="2" customFormat="1" ht="29.25" customHeight="1" x14ac:dyDescent="0.25">
      <c r="A641" s="20"/>
      <c r="B641" s="129"/>
      <c r="C641" s="131" t="s">
        <v>50</v>
      </c>
      <c r="D641" s="99" t="s">
        <v>57</v>
      </c>
      <c r="E641" s="93">
        <v>120.62</v>
      </c>
      <c r="F641" s="94">
        <v>3.37</v>
      </c>
      <c r="G641" s="94">
        <f>E641*F641</f>
        <v>406.48940000000005</v>
      </c>
      <c r="H641" s="94">
        <v>4824.8</v>
      </c>
      <c r="I641" s="94"/>
      <c r="J641" s="94"/>
      <c r="K641" s="94"/>
      <c r="L641" s="129"/>
      <c r="M641" s="129"/>
      <c r="N641" s="129"/>
      <c r="O641" s="129"/>
      <c r="P641" s="94">
        <v>0</v>
      </c>
      <c r="Q641" s="73"/>
      <c r="R641" s="74"/>
      <c r="S641" s="47"/>
    </row>
    <row r="642" spans="1:19" s="2" customFormat="1" ht="38.25" x14ac:dyDescent="0.25">
      <c r="A642" s="18"/>
      <c r="B642" s="122"/>
      <c r="C642" s="132" t="s">
        <v>50</v>
      </c>
      <c r="D642" s="100" t="s">
        <v>58</v>
      </c>
      <c r="E642" s="89">
        <f>SUM(E640:E641)</f>
        <v>1277.8599999999997</v>
      </c>
      <c r="F642" s="89"/>
      <c r="G642" s="87">
        <f t="shared" ref="G642:H642" si="201">SUM(G640:G641)</f>
        <v>4222.1562000000004</v>
      </c>
      <c r="H642" s="87">
        <f t="shared" si="201"/>
        <v>37534.560000000005</v>
      </c>
      <c r="I642" s="87"/>
      <c r="J642" s="87"/>
      <c r="K642" s="87"/>
      <c r="L642" s="122"/>
      <c r="M642" s="122"/>
      <c r="N642" s="122"/>
      <c r="O642" s="122"/>
      <c r="P642" s="87">
        <v>0</v>
      </c>
      <c r="Q642" s="76"/>
      <c r="R642" s="77"/>
      <c r="S642" s="50"/>
    </row>
    <row r="643" spans="1:19" s="2" customFormat="1" ht="30" customHeight="1" x14ac:dyDescent="0.25">
      <c r="A643" s="20"/>
      <c r="B643" s="129"/>
      <c r="C643" s="136" t="s">
        <v>50</v>
      </c>
      <c r="D643" s="99" t="s">
        <v>61</v>
      </c>
      <c r="E643" s="93">
        <v>102.8</v>
      </c>
      <c r="F643" s="94">
        <v>3.37</v>
      </c>
      <c r="G643" s="94">
        <f>E643*F643</f>
        <v>346.43599999999998</v>
      </c>
      <c r="H643" s="94">
        <v>4112</v>
      </c>
      <c r="I643" s="94"/>
      <c r="J643" s="94"/>
      <c r="K643" s="94"/>
      <c r="L643" s="129"/>
      <c r="M643" s="129"/>
      <c r="N643" s="129"/>
      <c r="O643" s="129"/>
      <c r="P643" s="94">
        <v>24795.96</v>
      </c>
      <c r="Q643" s="73"/>
      <c r="R643" s="74"/>
      <c r="S643" s="47"/>
    </row>
    <row r="644" spans="1:19" s="2" customFormat="1" ht="39" customHeight="1" x14ac:dyDescent="0.25">
      <c r="A644" s="18"/>
      <c r="B644" s="122"/>
      <c r="C644" s="132" t="s">
        <v>50</v>
      </c>
      <c r="D644" s="100" t="s">
        <v>63</v>
      </c>
      <c r="E644" s="89">
        <f>SUM(E642:E643)</f>
        <v>1380.6599999999996</v>
      </c>
      <c r="F644" s="89"/>
      <c r="G644" s="87">
        <f t="shared" ref="G644:H644" si="202">SUM(G642:G643)</f>
        <v>4568.5922</v>
      </c>
      <c r="H644" s="87">
        <f t="shared" si="202"/>
        <v>41646.560000000005</v>
      </c>
      <c r="I644" s="87"/>
      <c r="J644" s="87"/>
      <c r="K644" s="87"/>
      <c r="L644" s="122"/>
      <c r="M644" s="122"/>
      <c r="N644" s="122"/>
      <c r="O644" s="122"/>
      <c r="P644" s="87">
        <v>24795.96</v>
      </c>
      <c r="Q644" s="76"/>
      <c r="R644" s="77"/>
      <c r="S644" s="50"/>
    </row>
    <row r="645" spans="1:19" s="2" customFormat="1" ht="28.5" customHeight="1" x14ac:dyDescent="0.25">
      <c r="A645" s="20"/>
      <c r="B645" s="129"/>
      <c r="C645" s="131" t="s">
        <v>50</v>
      </c>
      <c r="D645" s="99" t="s">
        <v>64</v>
      </c>
      <c r="E645" s="93">
        <v>176.68</v>
      </c>
      <c r="F645" s="94">
        <v>3.37</v>
      </c>
      <c r="G645" s="94">
        <f>E645*F645</f>
        <v>595.41160000000002</v>
      </c>
      <c r="H645" s="94">
        <v>7067.2</v>
      </c>
      <c r="I645" s="94"/>
      <c r="J645" s="94"/>
      <c r="K645" s="94"/>
      <c r="L645" s="129"/>
      <c r="M645" s="129"/>
      <c r="N645" s="129"/>
      <c r="O645" s="129"/>
      <c r="P645" s="94">
        <v>0</v>
      </c>
      <c r="Q645" s="73"/>
      <c r="R645" s="74"/>
      <c r="S645" s="47"/>
    </row>
    <row r="646" spans="1:19" s="2" customFormat="1" ht="39" customHeight="1" x14ac:dyDescent="0.25">
      <c r="A646" s="20"/>
      <c r="B646" s="129"/>
      <c r="C646" s="131" t="s">
        <v>53</v>
      </c>
      <c r="D646" s="104"/>
      <c r="E646" s="93">
        <v>4.12</v>
      </c>
      <c r="F646" s="94">
        <v>0</v>
      </c>
      <c r="G646" s="94">
        <v>0</v>
      </c>
      <c r="H646" s="94">
        <v>0</v>
      </c>
      <c r="I646" s="94"/>
      <c r="J646" s="94"/>
      <c r="K646" s="94"/>
      <c r="L646" s="129"/>
      <c r="M646" s="129"/>
      <c r="N646" s="129"/>
      <c r="O646" s="129"/>
      <c r="P646" s="94"/>
      <c r="Q646" s="73"/>
      <c r="R646" s="74"/>
      <c r="S646" s="47"/>
    </row>
    <row r="647" spans="1:19" s="2" customFormat="1" ht="39" customHeight="1" x14ac:dyDescent="0.25">
      <c r="A647" s="18"/>
      <c r="B647" s="122"/>
      <c r="C647" s="132" t="s">
        <v>50</v>
      </c>
      <c r="D647" s="100" t="s">
        <v>65</v>
      </c>
      <c r="E647" s="89">
        <f>SUM(E644:E646)</f>
        <v>1561.4599999999996</v>
      </c>
      <c r="F647" s="89"/>
      <c r="G647" s="87">
        <f t="shared" ref="G647:H647" si="203">SUM(G644:G646)</f>
        <v>5164.0038000000004</v>
      </c>
      <c r="H647" s="87">
        <f t="shared" si="203"/>
        <v>48713.760000000002</v>
      </c>
      <c r="I647" s="87"/>
      <c r="J647" s="87"/>
      <c r="K647" s="87"/>
      <c r="L647" s="122"/>
      <c r="M647" s="122"/>
      <c r="N647" s="122"/>
      <c r="O647" s="122"/>
      <c r="P647" s="87">
        <v>24795.96</v>
      </c>
      <c r="Q647" s="76"/>
      <c r="R647" s="77"/>
      <c r="S647" s="50"/>
    </row>
    <row r="648" spans="1:19" s="2" customFormat="1" ht="27" customHeight="1" x14ac:dyDescent="0.25">
      <c r="A648" s="20"/>
      <c r="B648" s="129"/>
      <c r="C648" s="136" t="s">
        <v>50</v>
      </c>
      <c r="D648" s="99" t="s">
        <v>70</v>
      </c>
      <c r="E648" s="93">
        <v>13.62</v>
      </c>
      <c r="F648" s="94">
        <v>3.37</v>
      </c>
      <c r="G648" s="94">
        <v>45.8994</v>
      </c>
      <c r="H648" s="94">
        <v>544.79999999999995</v>
      </c>
      <c r="I648" s="94"/>
      <c r="J648" s="94"/>
      <c r="K648" s="94"/>
      <c r="L648" s="129"/>
      <c r="M648" s="129"/>
      <c r="N648" s="129"/>
      <c r="O648" s="129"/>
      <c r="P648" s="94">
        <v>0</v>
      </c>
      <c r="Q648" s="73"/>
      <c r="R648" s="74"/>
      <c r="S648" s="47"/>
    </row>
    <row r="649" spans="1:19" s="2" customFormat="1" ht="39" customHeight="1" x14ac:dyDescent="0.25">
      <c r="A649" s="18"/>
      <c r="B649" s="122"/>
      <c r="C649" s="132" t="s">
        <v>50</v>
      </c>
      <c r="D649" s="100" t="s">
        <v>69</v>
      </c>
      <c r="E649" s="89">
        <f>SUM(E647:E648)</f>
        <v>1575.0799999999995</v>
      </c>
      <c r="F649" s="89"/>
      <c r="G649" s="87">
        <f>SUM(G647:G648)</f>
        <v>5209.9032000000007</v>
      </c>
      <c r="H649" s="87">
        <f>SUM(H647:H648)</f>
        <v>49258.560000000005</v>
      </c>
      <c r="I649" s="87"/>
      <c r="J649" s="87"/>
      <c r="K649" s="87"/>
      <c r="L649" s="122"/>
      <c r="M649" s="122"/>
      <c r="N649" s="122"/>
      <c r="O649" s="122"/>
      <c r="P649" s="87">
        <v>24795.96</v>
      </c>
      <c r="Q649" s="76"/>
      <c r="R649" s="77"/>
      <c r="S649" s="50"/>
    </row>
    <row r="650" spans="1:19" s="2" customFormat="1" ht="27" customHeight="1" x14ac:dyDescent="0.25">
      <c r="A650" s="20"/>
      <c r="B650" s="129"/>
      <c r="C650" s="131" t="s">
        <v>50</v>
      </c>
      <c r="D650" s="99" t="s">
        <v>71</v>
      </c>
      <c r="E650" s="93">
        <v>102.88</v>
      </c>
      <c r="F650" s="94">
        <v>3.45</v>
      </c>
      <c r="G650" s="94">
        <f>E650*F650</f>
        <v>354.93599999999998</v>
      </c>
      <c r="H650" s="94">
        <f>E650*45</f>
        <v>4629.5999999999995</v>
      </c>
      <c r="I650" s="94"/>
      <c r="J650" s="94"/>
      <c r="K650" s="94"/>
      <c r="L650" s="129"/>
      <c r="M650" s="129"/>
      <c r="N650" s="129"/>
      <c r="O650" s="129"/>
      <c r="P650" s="94">
        <v>0</v>
      </c>
      <c r="Q650" s="73"/>
      <c r="R650" s="74"/>
      <c r="S650" s="47"/>
    </row>
    <row r="651" spans="1:19" s="2" customFormat="1" ht="39" customHeight="1" x14ac:dyDescent="0.25">
      <c r="A651" s="18"/>
      <c r="B651" s="122"/>
      <c r="C651" s="132" t="s">
        <v>50</v>
      </c>
      <c r="D651" s="100" t="s">
        <v>72</v>
      </c>
      <c r="E651" s="89">
        <f>SUM(E649:E650)</f>
        <v>1677.9599999999996</v>
      </c>
      <c r="F651" s="89"/>
      <c r="G651" s="87">
        <f t="shared" ref="G651:H651" si="204">SUM(G649:G650)</f>
        <v>5564.8392000000003</v>
      </c>
      <c r="H651" s="87">
        <f t="shared" si="204"/>
        <v>53888.160000000003</v>
      </c>
      <c r="I651" s="87"/>
      <c r="J651" s="87"/>
      <c r="K651" s="87"/>
      <c r="L651" s="122"/>
      <c r="M651" s="122"/>
      <c r="N651" s="122"/>
      <c r="O651" s="122"/>
      <c r="P651" s="87">
        <v>24795.96</v>
      </c>
      <c r="Q651" s="76"/>
      <c r="R651" s="77"/>
      <c r="S651" s="50"/>
    </row>
    <row r="652" spans="1:19" s="2" customFormat="1" ht="31.5" customHeight="1" x14ac:dyDescent="0.25">
      <c r="A652" s="20"/>
      <c r="B652" s="129"/>
      <c r="C652" s="131" t="s">
        <v>50</v>
      </c>
      <c r="D652" s="99" t="s">
        <v>73</v>
      </c>
      <c r="E652" s="93">
        <v>177.76</v>
      </c>
      <c r="F652" s="94">
        <v>3.45</v>
      </c>
      <c r="G652" s="94">
        <f>E652*F652</f>
        <v>613.27200000000005</v>
      </c>
      <c r="H652" s="94">
        <f>E652*45</f>
        <v>7999.2</v>
      </c>
      <c r="I652" s="94"/>
      <c r="J652" s="94"/>
      <c r="K652" s="94"/>
      <c r="L652" s="129"/>
      <c r="M652" s="129"/>
      <c r="N652" s="129"/>
      <c r="O652" s="129"/>
      <c r="P652" s="94">
        <v>0</v>
      </c>
      <c r="Q652" s="73"/>
      <c r="R652" s="74"/>
      <c r="S652" s="47"/>
    </row>
    <row r="653" spans="1:19" s="2" customFormat="1" ht="39" customHeight="1" x14ac:dyDescent="0.25">
      <c r="A653" s="18"/>
      <c r="B653" s="122"/>
      <c r="C653" s="132" t="s">
        <v>50</v>
      </c>
      <c r="D653" s="100" t="s">
        <v>74</v>
      </c>
      <c r="E653" s="89">
        <f>SUM(E651:E652)</f>
        <v>1855.7199999999996</v>
      </c>
      <c r="F653" s="89"/>
      <c r="G653" s="87">
        <f t="shared" ref="G653:H653" si="205">SUM(G651:G652)</f>
        <v>6178.1112000000003</v>
      </c>
      <c r="H653" s="87">
        <f t="shared" si="205"/>
        <v>61887.360000000001</v>
      </c>
      <c r="I653" s="87"/>
      <c r="J653" s="87"/>
      <c r="K653" s="87"/>
      <c r="L653" s="122"/>
      <c r="M653" s="122"/>
      <c r="N653" s="122"/>
      <c r="O653" s="122"/>
      <c r="P653" s="87">
        <v>24795.96</v>
      </c>
      <c r="Q653" s="76"/>
      <c r="R653" s="77"/>
      <c r="S653" s="50"/>
    </row>
    <row r="654" spans="1:19" s="2" customFormat="1" ht="33.75" customHeight="1" x14ac:dyDescent="0.25">
      <c r="A654" s="20"/>
      <c r="B654" s="129"/>
      <c r="C654" s="131" t="s">
        <v>50</v>
      </c>
      <c r="D654" s="99" t="s">
        <v>76</v>
      </c>
      <c r="E654" s="93">
        <v>181.26</v>
      </c>
      <c r="F654" s="94">
        <v>3.45</v>
      </c>
      <c r="G654" s="94">
        <f>E654*F654</f>
        <v>625.34699999999998</v>
      </c>
      <c r="H654" s="94">
        <f>E654*45</f>
        <v>8156.7</v>
      </c>
      <c r="I654" s="94"/>
      <c r="J654" s="94"/>
      <c r="K654" s="94"/>
      <c r="L654" s="129"/>
      <c r="M654" s="129"/>
      <c r="N654" s="129"/>
      <c r="O654" s="129"/>
      <c r="P654" s="94">
        <v>0</v>
      </c>
      <c r="Q654" s="73"/>
      <c r="R654" s="74"/>
      <c r="S654" s="47"/>
    </row>
    <row r="655" spans="1:19" s="2" customFormat="1" ht="39" customHeight="1" x14ac:dyDescent="0.25">
      <c r="A655" s="20"/>
      <c r="B655" s="129"/>
      <c r="C655" s="131" t="s">
        <v>53</v>
      </c>
      <c r="D655" s="104"/>
      <c r="E655" s="93">
        <v>10.32</v>
      </c>
      <c r="F655" s="94">
        <v>0</v>
      </c>
      <c r="G655" s="94">
        <v>0</v>
      </c>
      <c r="H655" s="94">
        <v>0</v>
      </c>
      <c r="I655" s="94"/>
      <c r="J655" s="94"/>
      <c r="K655" s="94"/>
      <c r="L655" s="129"/>
      <c r="M655" s="129"/>
      <c r="N655" s="129"/>
      <c r="O655" s="129"/>
      <c r="Q655" s="73"/>
      <c r="R655" s="74"/>
      <c r="S655" s="47"/>
    </row>
    <row r="656" spans="1:19" s="2" customFormat="1" ht="39" customHeight="1" x14ac:dyDescent="0.25">
      <c r="A656" s="18"/>
      <c r="B656" s="122"/>
      <c r="C656" s="132" t="s">
        <v>50</v>
      </c>
      <c r="D656" s="100" t="s">
        <v>77</v>
      </c>
      <c r="E656" s="89">
        <f>SUM(E653:E655)</f>
        <v>2047.2999999999995</v>
      </c>
      <c r="F656" s="89"/>
      <c r="G656" s="87">
        <f t="shared" ref="G656:H656" si="206">SUM(G653:G655)</f>
        <v>6803.4582</v>
      </c>
      <c r="H656" s="87">
        <f t="shared" si="206"/>
        <v>70044.06</v>
      </c>
      <c r="I656" s="87"/>
      <c r="J656" s="87"/>
      <c r="K656" s="87"/>
      <c r="L656" s="122"/>
      <c r="M656" s="122"/>
      <c r="N656" s="122"/>
      <c r="O656" s="122"/>
      <c r="P656" s="87">
        <v>24795.96</v>
      </c>
      <c r="Q656" s="76"/>
      <c r="R656" s="77"/>
      <c r="S656" s="50"/>
    </row>
    <row r="657" spans="1:19" s="2" customFormat="1" ht="39" customHeight="1" x14ac:dyDescent="0.25">
      <c r="A657" s="20"/>
      <c r="B657" s="129"/>
      <c r="C657" s="131" t="s">
        <v>50</v>
      </c>
      <c r="D657" s="99" t="s">
        <v>78</v>
      </c>
      <c r="E657" s="93">
        <v>51.56</v>
      </c>
      <c r="F657" s="94">
        <v>3.45</v>
      </c>
      <c r="G657" s="94">
        <f>E657*F657</f>
        <v>177.88200000000001</v>
      </c>
      <c r="H657" s="94">
        <f>E657*45</f>
        <v>2320.2000000000003</v>
      </c>
      <c r="I657" s="94"/>
      <c r="J657" s="94"/>
      <c r="K657" s="94"/>
      <c r="L657" s="129"/>
      <c r="M657" s="129"/>
      <c r="N657" s="129"/>
      <c r="O657" s="129"/>
      <c r="P657" s="94">
        <v>6939.87</v>
      </c>
      <c r="Q657" s="73"/>
      <c r="R657" s="74"/>
      <c r="S657" s="47"/>
    </row>
    <row r="658" spans="1:19" s="2" customFormat="1" ht="39" customHeight="1" x14ac:dyDescent="0.25">
      <c r="A658" s="18"/>
      <c r="B658" s="122"/>
      <c r="C658" s="132" t="s">
        <v>50</v>
      </c>
      <c r="D658" s="100" t="s">
        <v>79</v>
      </c>
      <c r="E658" s="89">
        <f>SUM(E656:E657)</f>
        <v>2098.8599999999997</v>
      </c>
      <c r="F658" s="89"/>
      <c r="G658" s="87">
        <f t="shared" ref="G658:H658" si="207">SUM(G656:G657)</f>
        <v>6981.3401999999996</v>
      </c>
      <c r="H658" s="87">
        <f t="shared" si="207"/>
        <v>72364.259999999995</v>
      </c>
      <c r="I658" s="87"/>
      <c r="J658" s="87"/>
      <c r="K658" s="87"/>
      <c r="L658" s="122"/>
      <c r="M658" s="122"/>
      <c r="N658" s="122"/>
      <c r="O658" s="122"/>
      <c r="P658" s="87">
        <f>SUM(P656:P657)</f>
        <v>31735.829999999998</v>
      </c>
      <c r="Q658" s="76"/>
      <c r="R658" s="77"/>
      <c r="S658" s="50"/>
    </row>
    <row r="659" spans="1:19" s="2" customFormat="1" ht="30" customHeight="1" x14ac:dyDescent="0.25">
      <c r="A659" s="20"/>
      <c r="B659" s="129"/>
      <c r="C659" s="131" t="s">
        <v>50</v>
      </c>
      <c r="D659" s="99" t="s">
        <v>82</v>
      </c>
      <c r="E659" s="93">
        <v>36.28</v>
      </c>
      <c r="F659" s="94">
        <v>3.45</v>
      </c>
      <c r="G659" s="94">
        <f>E659*F659</f>
        <v>125.16600000000001</v>
      </c>
      <c r="H659" s="94">
        <f>E659*57</f>
        <v>2067.96</v>
      </c>
      <c r="I659" s="94"/>
      <c r="J659" s="94"/>
      <c r="K659" s="94"/>
      <c r="L659" s="129"/>
      <c r="M659" s="129"/>
      <c r="N659" s="129"/>
      <c r="O659" s="129"/>
      <c r="P659" s="94">
        <v>39597</v>
      </c>
      <c r="Q659" s="73"/>
      <c r="R659" s="74"/>
      <c r="S659" s="47"/>
    </row>
    <row r="660" spans="1:19" s="2" customFormat="1" ht="39" customHeight="1" x14ac:dyDescent="0.25">
      <c r="A660" s="18"/>
      <c r="B660" s="122"/>
      <c r="C660" s="132" t="s">
        <v>50</v>
      </c>
      <c r="D660" s="100" t="s">
        <v>81</v>
      </c>
      <c r="E660" s="89">
        <f>SUM(E658:E659)</f>
        <v>2135.14</v>
      </c>
      <c r="F660" s="89"/>
      <c r="G660" s="87">
        <f t="shared" ref="G660:P660" si="208">SUM(G658:G659)</f>
        <v>7106.5061999999998</v>
      </c>
      <c r="H660" s="87">
        <f t="shared" si="208"/>
        <v>74432.22</v>
      </c>
      <c r="I660" s="87"/>
      <c r="J660" s="87"/>
      <c r="K660" s="87"/>
      <c r="L660" s="87"/>
      <c r="M660" s="87"/>
      <c r="N660" s="87"/>
      <c r="O660" s="87"/>
      <c r="P660" s="87">
        <f t="shared" si="208"/>
        <v>71332.83</v>
      </c>
      <c r="Q660" s="76"/>
      <c r="R660" s="77"/>
      <c r="S660" s="50"/>
    </row>
    <row r="661" spans="1:19" s="2" customFormat="1" ht="31.5" customHeight="1" x14ac:dyDescent="0.25">
      <c r="A661" s="20"/>
      <c r="B661" s="129"/>
      <c r="C661" s="131" t="s">
        <v>50</v>
      </c>
      <c r="D661" s="99" t="s">
        <v>84</v>
      </c>
      <c r="E661" s="93">
        <v>134.69999999999999</v>
      </c>
      <c r="F661" s="94">
        <v>3.45</v>
      </c>
      <c r="G661" s="94">
        <f>E661*F661</f>
        <v>464.71499999999997</v>
      </c>
      <c r="H661" s="94">
        <f>E661*57</f>
        <v>7677.9</v>
      </c>
      <c r="I661" s="94"/>
      <c r="J661" s="94"/>
      <c r="K661" s="94"/>
      <c r="L661" s="94"/>
      <c r="M661" s="94"/>
      <c r="N661" s="94"/>
      <c r="O661" s="94"/>
      <c r="P661" s="94">
        <v>0</v>
      </c>
      <c r="Q661" s="73"/>
      <c r="R661" s="74"/>
      <c r="S661" s="47"/>
    </row>
    <row r="662" spans="1:19" s="2" customFormat="1" ht="39" customHeight="1" x14ac:dyDescent="0.25">
      <c r="A662" s="18"/>
      <c r="B662" s="122"/>
      <c r="C662" s="132" t="s">
        <v>50</v>
      </c>
      <c r="D662" s="100" t="s">
        <v>86</v>
      </c>
      <c r="E662" s="89">
        <f>SUM(E660:E661)</f>
        <v>2269.8399999999997</v>
      </c>
      <c r="F662" s="89"/>
      <c r="G662" s="87">
        <f t="shared" ref="G662:P662" si="209">SUM(G660:G661)</f>
        <v>7571.2212</v>
      </c>
      <c r="H662" s="87">
        <f t="shared" si="209"/>
        <v>82110.12</v>
      </c>
      <c r="I662" s="87"/>
      <c r="J662" s="87"/>
      <c r="K662" s="87"/>
      <c r="L662" s="87"/>
      <c r="M662" s="87"/>
      <c r="N662" s="87"/>
      <c r="O662" s="87"/>
      <c r="P662" s="87">
        <f t="shared" si="209"/>
        <v>71332.83</v>
      </c>
      <c r="Q662" s="76"/>
      <c r="R662" s="77"/>
      <c r="S662" s="50"/>
    </row>
    <row r="663" spans="1:19" s="2" customFormat="1" ht="30.75" customHeight="1" x14ac:dyDescent="0.25">
      <c r="A663" s="20"/>
      <c r="B663" s="129"/>
      <c r="C663" s="131" t="s">
        <v>50</v>
      </c>
      <c r="D663" s="99" t="s">
        <v>89</v>
      </c>
      <c r="E663" s="93">
        <v>212.72</v>
      </c>
      <c r="F663" s="94">
        <v>3.45</v>
      </c>
      <c r="G663" s="94">
        <f>E663*F663</f>
        <v>733.88400000000001</v>
      </c>
      <c r="H663" s="94">
        <f>E663*57</f>
        <v>12125.039999999999</v>
      </c>
      <c r="I663" s="94"/>
      <c r="J663" s="94"/>
      <c r="K663" s="94"/>
      <c r="L663" s="94"/>
      <c r="M663" s="94"/>
      <c r="N663" s="94"/>
      <c r="O663" s="94"/>
      <c r="P663" s="94">
        <v>0</v>
      </c>
      <c r="Q663" s="73"/>
      <c r="R663" s="74"/>
      <c r="S663" s="47"/>
    </row>
    <row r="664" spans="1:19" s="2" customFormat="1" ht="39" customHeight="1" x14ac:dyDescent="0.25">
      <c r="A664" s="20"/>
      <c r="B664" s="129"/>
      <c r="C664" s="131" t="s">
        <v>53</v>
      </c>
      <c r="D664" s="104"/>
      <c r="E664" s="93">
        <v>9.74</v>
      </c>
      <c r="F664" s="93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73"/>
      <c r="R664" s="74"/>
      <c r="S664" s="47"/>
    </row>
    <row r="665" spans="1:19" s="2" customFormat="1" ht="39" customHeight="1" x14ac:dyDescent="0.25">
      <c r="A665" s="18"/>
      <c r="B665" s="122"/>
      <c r="C665" s="132" t="s">
        <v>50</v>
      </c>
      <c r="D665" s="100" t="s">
        <v>90</v>
      </c>
      <c r="E665" s="89">
        <f>SUM(E662:E664)</f>
        <v>2492.2999999999993</v>
      </c>
      <c r="F665" s="89"/>
      <c r="G665" s="87">
        <f t="shared" ref="G665:P665" si="210">SUM(G662:G664)</f>
        <v>8305.1052</v>
      </c>
      <c r="H665" s="87">
        <f t="shared" si="210"/>
        <v>94235.159999999989</v>
      </c>
      <c r="I665" s="87"/>
      <c r="J665" s="87"/>
      <c r="K665" s="87"/>
      <c r="L665" s="87"/>
      <c r="M665" s="87"/>
      <c r="N665" s="87"/>
      <c r="O665" s="87"/>
      <c r="P665" s="87">
        <f t="shared" si="210"/>
        <v>71332.83</v>
      </c>
      <c r="Q665" s="76"/>
      <c r="R665" s="77"/>
      <c r="S665" s="50"/>
    </row>
    <row r="666" spans="1:19" s="2" customFormat="1" ht="33" customHeight="1" x14ac:dyDescent="0.25">
      <c r="A666" s="20"/>
      <c r="B666" s="129"/>
      <c r="C666" s="131" t="s">
        <v>50</v>
      </c>
      <c r="D666" s="99" t="s">
        <v>93</v>
      </c>
      <c r="E666" s="93">
        <v>174.28</v>
      </c>
      <c r="F666" s="94">
        <v>3.45</v>
      </c>
      <c r="G666" s="94">
        <f>E666*F666</f>
        <v>601.26600000000008</v>
      </c>
      <c r="H666" s="94">
        <f>E666*57</f>
        <v>9933.9600000000009</v>
      </c>
      <c r="I666" s="94"/>
      <c r="J666" s="94"/>
      <c r="K666" s="94"/>
      <c r="L666" s="94"/>
      <c r="M666" s="94"/>
      <c r="N666" s="94"/>
      <c r="O666" s="94"/>
      <c r="P666" s="94">
        <v>0</v>
      </c>
      <c r="Q666" s="73"/>
      <c r="R666" s="74"/>
      <c r="S666" s="47"/>
    </row>
    <row r="667" spans="1:19" s="2" customFormat="1" ht="39" customHeight="1" x14ac:dyDescent="0.25">
      <c r="A667" s="18"/>
      <c r="B667" s="122"/>
      <c r="C667" s="132" t="s">
        <v>50</v>
      </c>
      <c r="D667" s="100" t="s">
        <v>94</v>
      </c>
      <c r="E667" s="89">
        <f>SUM(E665:E666)</f>
        <v>2666.5799999999995</v>
      </c>
      <c r="F667" s="89"/>
      <c r="G667" s="87">
        <f>SUM(G665:G666)</f>
        <v>8906.3711999999996</v>
      </c>
      <c r="H667" s="87">
        <f t="shared" ref="H667" si="211">SUM(H665:H666)</f>
        <v>104169.12</v>
      </c>
      <c r="I667" s="87"/>
      <c r="J667" s="87"/>
      <c r="K667" s="87"/>
      <c r="L667" s="87"/>
      <c r="M667" s="87"/>
      <c r="N667" s="89"/>
      <c r="O667" s="87"/>
      <c r="P667" s="87">
        <v>71332.83</v>
      </c>
      <c r="Q667" s="76"/>
      <c r="R667" s="77"/>
      <c r="S667" s="50"/>
    </row>
    <row r="668" spans="1:19" s="2" customFormat="1" ht="91.5" customHeight="1" x14ac:dyDescent="0.25">
      <c r="A668" s="20"/>
      <c r="B668" s="129"/>
      <c r="C668" s="131" t="s">
        <v>50</v>
      </c>
      <c r="D668" s="99" t="s">
        <v>96</v>
      </c>
      <c r="E668" s="93">
        <v>152.91999999999999</v>
      </c>
      <c r="F668" s="94">
        <v>5.6</v>
      </c>
      <c r="G668" s="94">
        <f>E668*F668</f>
        <v>856.35199999999986</v>
      </c>
      <c r="H668" s="94">
        <v>13992.84</v>
      </c>
      <c r="I668" s="94"/>
      <c r="J668" s="94"/>
      <c r="K668" s="94"/>
      <c r="L668" s="94"/>
      <c r="M668" s="94"/>
      <c r="N668" s="93"/>
      <c r="O668" s="94"/>
      <c r="P668" s="94" t="s">
        <v>118</v>
      </c>
      <c r="Q668" s="73"/>
      <c r="R668" s="74"/>
      <c r="S668" s="217" t="s">
        <v>99</v>
      </c>
    </row>
    <row r="669" spans="1:19" s="2" customFormat="1" ht="39" customHeight="1" x14ac:dyDescent="0.25">
      <c r="A669" s="18"/>
      <c r="B669" s="122"/>
      <c r="C669" s="132" t="s">
        <v>50</v>
      </c>
      <c r="D669" s="100" t="s">
        <v>97</v>
      </c>
      <c r="E669" s="89">
        <f>SUM(E667:E668)</f>
        <v>2819.4999999999995</v>
      </c>
      <c r="F669" s="89"/>
      <c r="G669" s="87">
        <f t="shared" ref="G669:H669" si="212">SUM(G667:G668)</f>
        <v>9762.7232000000004</v>
      </c>
      <c r="H669" s="87">
        <f t="shared" si="212"/>
        <v>118161.95999999999</v>
      </c>
      <c r="I669" s="87"/>
      <c r="J669" s="87"/>
      <c r="K669" s="87"/>
      <c r="L669" s="87"/>
      <c r="M669" s="87"/>
      <c r="N669" s="87"/>
      <c r="O669" s="87"/>
      <c r="P669" s="221" t="s">
        <v>134</v>
      </c>
      <c r="Q669" s="76"/>
      <c r="R669" s="77"/>
      <c r="S669" s="50"/>
    </row>
    <row r="670" spans="1:19" s="2" customFormat="1" ht="27.75" customHeight="1" x14ac:dyDescent="0.25">
      <c r="A670" s="20"/>
      <c r="B670" s="129"/>
      <c r="C670" s="131" t="s">
        <v>50</v>
      </c>
      <c r="D670" s="99" t="s">
        <v>119</v>
      </c>
      <c r="E670" s="93">
        <v>201.04</v>
      </c>
      <c r="F670" s="94">
        <v>5.6</v>
      </c>
      <c r="G670" s="94">
        <f>E670*F670</f>
        <v>1125.8239999999998</v>
      </c>
      <c r="H670" s="94">
        <f>E670*69</f>
        <v>13871.76</v>
      </c>
      <c r="I670" s="94"/>
      <c r="J670" s="94"/>
      <c r="K670" s="94"/>
      <c r="L670" s="94"/>
      <c r="M670" s="94"/>
      <c r="N670" s="94"/>
      <c r="O670" s="94"/>
      <c r="P670" s="220" t="s">
        <v>129</v>
      </c>
      <c r="Q670" s="73"/>
      <c r="R670" s="74"/>
      <c r="S670" s="47"/>
    </row>
    <row r="671" spans="1:19" s="2" customFormat="1" ht="39" customHeight="1" x14ac:dyDescent="0.25">
      <c r="A671" s="18"/>
      <c r="B671" s="122"/>
      <c r="C671" s="132" t="s">
        <v>50</v>
      </c>
      <c r="D671" s="100" t="s">
        <v>120</v>
      </c>
      <c r="E671" s="89">
        <f>SUM(E669:E670)</f>
        <v>3020.5399999999995</v>
      </c>
      <c r="F671" s="89"/>
      <c r="G671" s="87">
        <f t="shared" ref="G671:H671" si="213">SUM(G669:G670)</f>
        <v>10888.547200000001</v>
      </c>
      <c r="H671" s="87">
        <f t="shared" si="213"/>
        <v>132033.72</v>
      </c>
      <c r="I671" s="87"/>
      <c r="J671" s="87"/>
      <c r="K671" s="87"/>
      <c r="L671" s="87"/>
      <c r="M671" s="87"/>
      <c r="N671" s="87"/>
      <c r="O671" s="87"/>
      <c r="P671" s="221" t="s">
        <v>135</v>
      </c>
      <c r="Q671" s="76"/>
      <c r="R671" s="77"/>
      <c r="S671" s="50"/>
    </row>
    <row r="672" spans="1:19" s="2" customFormat="1" ht="39" customHeight="1" x14ac:dyDescent="0.25">
      <c r="A672" s="20"/>
      <c r="B672" s="129"/>
      <c r="C672" s="131" t="s">
        <v>50</v>
      </c>
      <c r="D672" s="99" t="s">
        <v>139</v>
      </c>
      <c r="E672" s="93">
        <v>231.24</v>
      </c>
      <c r="F672" s="94">
        <v>5.6</v>
      </c>
      <c r="G672" s="94">
        <f>SUM(E672*F672)</f>
        <v>1294.944</v>
      </c>
      <c r="H672" s="94">
        <f>SUM(E672*69)</f>
        <v>15955.560000000001</v>
      </c>
      <c r="I672" s="94"/>
      <c r="J672" s="94"/>
      <c r="K672" s="94"/>
      <c r="L672" s="94"/>
      <c r="M672" s="94"/>
      <c r="N672" s="94"/>
      <c r="O672" s="94"/>
      <c r="P672" s="220" t="s">
        <v>160</v>
      </c>
      <c r="Q672" s="73"/>
      <c r="R672" s="74"/>
      <c r="S672" s="47"/>
    </row>
    <row r="673" spans="1:19" s="2" customFormat="1" ht="39" customHeight="1" x14ac:dyDescent="0.25">
      <c r="A673" s="18"/>
      <c r="B673" s="122"/>
      <c r="C673" s="132" t="s">
        <v>50</v>
      </c>
      <c r="D673" s="100" t="s">
        <v>140</v>
      </c>
      <c r="E673" s="89">
        <f>SUM(E671:E672)</f>
        <v>3251.7799999999997</v>
      </c>
      <c r="F673" s="89"/>
      <c r="G673" s="87">
        <f t="shared" ref="G673:H673" si="214">SUM(G671:G672)</f>
        <v>12183.4912</v>
      </c>
      <c r="H673" s="87">
        <f t="shared" si="214"/>
        <v>147989.28</v>
      </c>
      <c r="I673" s="87"/>
      <c r="J673" s="87"/>
      <c r="K673" s="87"/>
      <c r="L673" s="87"/>
      <c r="M673" s="87"/>
      <c r="N673" s="87"/>
      <c r="O673" s="87"/>
      <c r="P673" s="221" t="s">
        <v>143</v>
      </c>
      <c r="Q673" s="76"/>
      <c r="R673" s="77"/>
      <c r="S673" s="50"/>
    </row>
    <row r="674" spans="1:19" s="2" customFormat="1" ht="39" customHeight="1" x14ac:dyDescent="0.25">
      <c r="A674" s="20"/>
      <c r="B674" s="129"/>
      <c r="C674" s="131" t="s">
        <v>50</v>
      </c>
      <c r="D674" s="99" t="s">
        <v>144</v>
      </c>
      <c r="E674" s="93">
        <v>200.18</v>
      </c>
      <c r="F674" s="94">
        <v>5.6</v>
      </c>
      <c r="G674" s="94">
        <v>1121.008</v>
      </c>
      <c r="H674" s="94">
        <v>13812.42</v>
      </c>
      <c r="I674" s="94"/>
      <c r="J674" s="94"/>
      <c r="K674" s="94"/>
      <c r="L674" s="94"/>
      <c r="M674" s="94"/>
      <c r="N674" s="94"/>
      <c r="O674" s="94"/>
      <c r="P674" s="220" t="s">
        <v>157</v>
      </c>
      <c r="Q674" s="73"/>
      <c r="R674" s="74"/>
      <c r="S674" s="47"/>
    </row>
    <row r="675" spans="1:19" s="2" customFormat="1" ht="39" customHeight="1" x14ac:dyDescent="0.25">
      <c r="A675" s="18"/>
      <c r="B675" s="122"/>
      <c r="C675" s="132" t="s">
        <v>50</v>
      </c>
      <c r="D675" s="100" t="s">
        <v>145</v>
      </c>
      <c r="E675" s="89">
        <f>SUM(E673:E674)</f>
        <v>3451.9599999999996</v>
      </c>
      <c r="F675" s="89"/>
      <c r="G675" s="87">
        <f t="shared" ref="G675:H675" si="215">SUM(G673:G674)</f>
        <v>13304.4992</v>
      </c>
      <c r="H675" s="87">
        <f t="shared" si="215"/>
        <v>161801.70000000001</v>
      </c>
      <c r="I675" s="87"/>
      <c r="J675" s="87"/>
      <c r="K675" s="87"/>
      <c r="L675" s="87"/>
      <c r="M675" s="87"/>
      <c r="N675" s="87"/>
      <c r="O675" s="87"/>
      <c r="P675" s="221" t="s">
        <v>164</v>
      </c>
      <c r="Q675" s="76"/>
      <c r="R675" s="77"/>
      <c r="S675" s="50"/>
    </row>
    <row r="676" spans="1:19" s="2" customFormat="1" ht="39" customHeight="1" x14ac:dyDescent="0.25">
      <c r="A676" s="20"/>
      <c r="B676" s="129"/>
      <c r="C676" s="131" t="s">
        <v>50</v>
      </c>
      <c r="D676" s="99" t="s">
        <v>165</v>
      </c>
      <c r="E676" s="93">
        <v>147.12</v>
      </c>
      <c r="F676" s="94">
        <v>5.6</v>
      </c>
      <c r="G676" s="94">
        <f>E676*F676</f>
        <v>823.87199999999996</v>
      </c>
      <c r="H676" s="94">
        <f>E676*82</f>
        <v>12063.84</v>
      </c>
      <c r="I676" s="94"/>
      <c r="J676" s="94"/>
      <c r="K676" s="94"/>
      <c r="L676" s="94"/>
      <c r="M676" s="94"/>
      <c r="N676" s="94"/>
      <c r="O676" s="94"/>
      <c r="P676" s="220" t="s">
        <v>186</v>
      </c>
      <c r="Q676" s="73"/>
      <c r="R676" s="74"/>
      <c r="S676" s="47"/>
    </row>
    <row r="677" spans="1:19" s="2" customFormat="1" ht="39" customHeight="1" x14ac:dyDescent="0.25">
      <c r="A677" s="18"/>
      <c r="B677" s="122"/>
      <c r="C677" s="132" t="s">
        <v>50</v>
      </c>
      <c r="D677" s="100" t="s">
        <v>188</v>
      </c>
      <c r="E677" s="89">
        <f>SUM(E675:E676)</f>
        <v>3599.0799999999995</v>
      </c>
      <c r="F677" s="89"/>
      <c r="G677" s="87">
        <f t="shared" ref="G677:H677" si="216">SUM(G675:G676)</f>
        <v>14128.3712</v>
      </c>
      <c r="H677" s="87">
        <f t="shared" si="216"/>
        <v>173865.54</v>
      </c>
      <c r="I677" s="87"/>
      <c r="J677" s="87"/>
      <c r="K677" s="87"/>
      <c r="L677" s="87"/>
      <c r="M677" s="87"/>
      <c r="N677" s="87"/>
      <c r="O677" s="87"/>
      <c r="P677" s="221" t="s">
        <v>187</v>
      </c>
      <c r="Q677" s="76"/>
      <c r="R677" s="77"/>
      <c r="S677" s="50"/>
    </row>
    <row r="678" spans="1:19" s="2" customFormat="1" ht="39" customHeight="1" x14ac:dyDescent="0.25">
      <c r="A678" s="20"/>
      <c r="B678" s="129"/>
      <c r="C678" s="131" t="s">
        <v>50</v>
      </c>
      <c r="D678" s="99" t="s">
        <v>166</v>
      </c>
      <c r="E678" s="93">
        <v>203.06</v>
      </c>
      <c r="F678" s="94">
        <v>5.6</v>
      </c>
      <c r="G678" s="94">
        <f>68.42*5.6</f>
        <v>383.15199999999999</v>
      </c>
      <c r="H678" s="94">
        <f>68.42*82</f>
        <v>5610.4400000000005</v>
      </c>
      <c r="I678" s="94">
        <f>134.64*5.6</f>
        <v>753.98399999999992</v>
      </c>
      <c r="J678" s="94">
        <f>134.64*82</f>
        <v>11040.48</v>
      </c>
      <c r="K678" s="94"/>
      <c r="L678" s="94"/>
      <c r="M678" s="94"/>
      <c r="N678" s="94"/>
      <c r="O678" s="94"/>
      <c r="P678" s="220">
        <v>0</v>
      </c>
      <c r="Q678" s="73"/>
      <c r="R678" s="74"/>
      <c r="S678" s="47"/>
    </row>
    <row r="679" spans="1:19" s="2" customFormat="1" ht="39" customHeight="1" x14ac:dyDescent="0.25">
      <c r="A679" s="18"/>
      <c r="B679" s="122"/>
      <c r="C679" s="132" t="s">
        <v>50</v>
      </c>
      <c r="D679" s="100" t="s">
        <v>168</v>
      </c>
      <c r="E679" s="89">
        <f>SUM(E677:E678)</f>
        <v>3802.1399999999994</v>
      </c>
      <c r="F679" s="89"/>
      <c r="G679" s="87">
        <f t="shared" ref="G679:J679" si="217">SUM(G677:G678)</f>
        <v>14511.5232</v>
      </c>
      <c r="H679" s="87">
        <f t="shared" si="217"/>
        <v>179475.98</v>
      </c>
      <c r="I679" s="87">
        <f t="shared" si="217"/>
        <v>753.98399999999992</v>
      </c>
      <c r="J679" s="87">
        <f t="shared" si="217"/>
        <v>11040.48</v>
      </c>
      <c r="K679" s="87"/>
      <c r="L679" s="87"/>
      <c r="M679" s="87"/>
      <c r="N679" s="87"/>
      <c r="O679" s="87"/>
      <c r="P679" s="221" t="s">
        <v>187</v>
      </c>
      <c r="Q679" s="76"/>
      <c r="R679" s="77"/>
      <c r="S679" s="50"/>
    </row>
    <row r="680" spans="1:19" s="236" customFormat="1" ht="39" customHeight="1" x14ac:dyDescent="0.25">
      <c r="A680" s="230"/>
      <c r="B680" s="237"/>
      <c r="C680" s="131" t="s">
        <v>50</v>
      </c>
      <c r="D680" s="99" t="s">
        <v>195</v>
      </c>
      <c r="E680" s="231">
        <v>228.6</v>
      </c>
      <c r="F680" s="94">
        <v>5.6</v>
      </c>
      <c r="G680" s="94">
        <f>134.64*5.6</f>
        <v>753.98399999999992</v>
      </c>
      <c r="H680" s="94">
        <f>134.64*82</f>
        <v>11040.48</v>
      </c>
      <c r="I680" s="232">
        <f>E680*5.6</f>
        <v>1280.1599999999999</v>
      </c>
      <c r="J680" s="232">
        <f>E680*82</f>
        <v>18745.2</v>
      </c>
      <c r="K680" s="232"/>
      <c r="L680" s="232"/>
      <c r="M680" s="232"/>
      <c r="N680" s="232"/>
      <c r="O680" s="232"/>
      <c r="P680" s="220">
        <v>0</v>
      </c>
      <c r="Q680" s="247"/>
      <c r="R680" s="248"/>
      <c r="S680" s="235"/>
    </row>
    <row r="681" spans="1:19" s="2" customFormat="1" ht="39" customHeight="1" x14ac:dyDescent="0.25">
      <c r="A681" s="18"/>
      <c r="B681" s="122"/>
      <c r="C681" s="132" t="s">
        <v>50</v>
      </c>
      <c r="D681" s="100" t="s">
        <v>196</v>
      </c>
      <c r="E681" s="89">
        <f>SUM(E679:E680)</f>
        <v>4030.7399999999993</v>
      </c>
      <c r="F681" s="89"/>
      <c r="G681" s="87">
        <f>SUM(G679:G680)</f>
        <v>15265.5072</v>
      </c>
      <c r="H681" s="87">
        <f>SUM(H679:H680)</f>
        <v>190516.46000000002</v>
      </c>
      <c r="I681" s="87">
        <v>1280.1600000000001</v>
      </c>
      <c r="J681" s="87">
        <v>18745.2</v>
      </c>
      <c r="K681" s="87"/>
      <c r="L681" s="87"/>
      <c r="M681" s="87"/>
      <c r="N681" s="87"/>
      <c r="O681" s="87"/>
      <c r="P681" s="221" t="s">
        <v>187</v>
      </c>
      <c r="Q681" s="76"/>
      <c r="R681" s="77"/>
      <c r="S681" s="50"/>
    </row>
    <row r="682" spans="1:19" s="236" customFormat="1" ht="39" customHeight="1" x14ac:dyDescent="0.25">
      <c r="A682" s="230"/>
      <c r="B682" s="237"/>
      <c r="C682" s="131" t="s">
        <v>50</v>
      </c>
      <c r="D682" s="99" t="s">
        <v>201</v>
      </c>
      <c r="E682" s="231">
        <v>187.98</v>
      </c>
      <c r="F682" s="94">
        <v>5.6</v>
      </c>
      <c r="G682" s="232">
        <f>302.66*5.6</f>
        <v>1694.896</v>
      </c>
      <c r="H682" s="232">
        <f>302.66*82</f>
        <v>24818.120000000003</v>
      </c>
      <c r="I682" s="232">
        <f>113.92*5.6</f>
        <v>637.952</v>
      </c>
      <c r="J682" s="232">
        <f>113.92*82</f>
        <v>9341.44</v>
      </c>
      <c r="K682" s="232"/>
      <c r="L682" s="232"/>
      <c r="M682" s="232"/>
      <c r="N682" s="232"/>
      <c r="O682" s="232"/>
      <c r="P682" s="220">
        <v>0</v>
      </c>
      <c r="Q682" s="247"/>
      <c r="R682" s="248"/>
      <c r="S682" s="235"/>
    </row>
    <row r="683" spans="1:19" s="2" customFormat="1" ht="39" customHeight="1" x14ac:dyDescent="0.25">
      <c r="A683" s="18"/>
      <c r="B683" s="122"/>
      <c r="C683" s="132" t="s">
        <v>50</v>
      </c>
      <c r="D683" s="100" t="s">
        <v>202</v>
      </c>
      <c r="E683" s="89">
        <f>SUM(E681:E682)</f>
        <v>4218.7199999999993</v>
      </c>
      <c r="F683" s="89"/>
      <c r="G683" s="87">
        <f>SUM(G681:G682)</f>
        <v>16960.403200000001</v>
      </c>
      <c r="H683" s="87">
        <f>SUM(H681:H682)</f>
        <v>215334.58000000002</v>
      </c>
      <c r="I683" s="87">
        <v>637.95000000000005</v>
      </c>
      <c r="J683" s="87">
        <v>9341.44</v>
      </c>
      <c r="K683" s="87"/>
      <c r="L683" s="87"/>
      <c r="M683" s="87"/>
      <c r="N683" s="87"/>
      <c r="O683" s="87"/>
      <c r="P683" s="221" t="s">
        <v>187</v>
      </c>
      <c r="Q683" s="76"/>
      <c r="R683" s="77"/>
      <c r="S683" s="50"/>
    </row>
    <row r="684" spans="1:19" s="236" customFormat="1" ht="39" customHeight="1" x14ac:dyDescent="0.25">
      <c r="A684" s="230"/>
      <c r="B684" s="237"/>
      <c r="C684" s="131" t="s">
        <v>50</v>
      </c>
      <c r="D684" s="99" t="s">
        <v>208</v>
      </c>
      <c r="E684" s="231">
        <v>147.96</v>
      </c>
      <c r="F684" s="94">
        <v>5.6</v>
      </c>
      <c r="G684" s="232"/>
      <c r="H684" s="232"/>
      <c r="I684" s="232">
        <f>147.96*5.6</f>
        <v>828.57600000000002</v>
      </c>
      <c r="J684" s="232">
        <f>147.96*95</f>
        <v>14056.2</v>
      </c>
      <c r="K684" s="232"/>
      <c r="L684" s="232"/>
      <c r="M684" s="232"/>
      <c r="N684" s="232"/>
      <c r="O684" s="232"/>
      <c r="P684" s="233"/>
      <c r="Q684" s="247"/>
      <c r="R684" s="248"/>
      <c r="S684" s="235"/>
    </row>
    <row r="685" spans="1:19" s="2" customFormat="1" ht="39" customHeight="1" x14ac:dyDescent="0.25">
      <c r="A685" s="18"/>
      <c r="B685" s="122"/>
      <c r="C685" s="132" t="s">
        <v>50</v>
      </c>
      <c r="D685" s="100" t="s">
        <v>209</v>
      </c>
      <c r="E685" s="89">
        <f>SUM(E683:E684)</f>
        <v>4366.6799999999994</v>
      </c>
      <c r="F685" s="89"/>
      <c r="G685" s="87">
        <f>SUM(G683:G684)</f>
        <v>16960.403200000001</v>
      </c>
      <c r="H685" s="87">
        <f>SUM(H683:H684)</f>
        <v>215334.58000000002</v>
      </c>
      <c r="I685" s="87">
        <f>SUM(I683:I684)</f>
        <v>1466.5260000000001</v>
      </c>
      <c r="J685" s="87">
        <f>SUM(J683:J684)</f>
        <v>23397.64</v>
      </c>
      <c r="K685" s="87"/>
      <c r="L685" s="87"/>
      <c r="M685" s="87"/>
      <c r="N685" s="87"/>
      <c r="O685" s="87"/>
      <c r="P685" s="221" t="s">
        <v>187</v>
      </c>
      <c r="Q685" s="76"/>
      <c r="R685" s="77"/>
      <c r="S685" s="50"/>
    </row>
    <row r="686" spans="1:19" s="236" customFormat="1" ht="39" customHeight="1" x14ac:dyDescent="0.25">
      <c r="A686" s="230"/>
      <c r="B686" s="237"/>
      <c r="C686" s="131" t="s">
        <v>50</v>
      </c>
      <c r="D686" s="99" t="s">
        <v>215</v>
      </c>
      <c r="E686" s="231">
        <v>201.89</v>
      </c>
      <c r="F686" s="94">
        <v>5.6</v>
      </c>
      <c r="G686" s="232">
        <f>204.68*5.6</f>
        <v>1146.2079999999999</v>
      </c>
      <c r="H686" s="232">
        <f>9341.44+90.76*95</f>
        <v>17963.64</v>
      </c>
      <c r="I686" s="232">
        <f>259.09*5.6</f>
        <v>1450.9039999999998</v>
      </c>
      <c r="J686" s="232">
        <f>259.09*95</f>
        <v>24613.55</v>
      </c>
      <c r="K686" s="232"/>
      <c r="L686" s="232"/>
      <c r="M686" s="232"/>
      <c r="N686" s="232"/>
      <c r="O686" s="232"/>
      <c r="P686" s="233"/>
      <c r="Q686" s="247"/>
      <c r="R686" s="248"/>
      <c r="S686" s="235"/>
    </row>
    <row r="687" spans="1:19" s="2" customFormat="1" ht="39" customHeight="1" x14ac:dyDescent="0.25">
      <c r="A687" s="18"/>
      <c r="B687" s="122"/>
      <c r="C687" s="132" t="s">
        <v>50</v>
      </c>
      <c r="D687" s="100" t="s">
        <v>216</v>
      </c>
      <c r="E687" s="89">
        <f>SUM(E685:E686)</f>
        <v>4568.57</v>
      </c>
      <c r="F687" s="89"/>
      <c r="G687" s="87">
        <f>SUM(G685:G686)</f>
        <v>18106.611199999999</v>
      </c>
      <c r="H687" s="87">
        <f>SUM(H685:H686)</f>
        <v>233298.22000000003</v>
      </c>
      <c r="I687" s="87">
        <v>1450.9</v>
      </c>
      <c r="J687" s="87">
        <v>24613.55</v>
      </c>
      <c r="K687" s="87"/>
      <c r="L687" s="87"/>
      <c r="M687" s="87"/>
      <c r="N687" s="87"/>
      <c r="O687" s="87"/>
      <c r="P687" s="221" t="s">
        <v>187</v>
      </c>
      <c r="Q687" s="76"/>
      <c r="R687" s="77"/>
      <c r="S687" s="50"/>
    </row>
    <row r="688" spans="1:19" s="2" customFormat="1" ht="39" customHeight="1" x14ac:dyDescent="0.25">
      <c r="A688" s="20"/>
      <c r="B688" s="129"/>
      <c r="C688" s="131" t="s">
        <v>50</v>
      </c>
      <c r="D688" s="99" t="s">
        <v>218</v>
      </c>
      <c r="E688" s="93">
        <v>244.14</v>
      </c>
      <c r="F688" s="94">
        <v>5.6</v>
      </c>
      <c r="G688" s="94"/>
      <c r="H688" s="94"/>
      <c r="I688" s="94">
        <f>244.14*5.6</f>
        <v>1367.1839999999997</v>
      </c>
      <c r="J688" s="94">
        <f>244.14*95</f>
        <v>23193.3</v>
      </c>
      <c r="K688" s="94"/>
      <c r="L688" s="94"/>
      <c r="M688" s="94"/>
      <c r="N688" s="94"/>
      <c r="O688" s="94"/>
      <c r="P688" s="220"/>
      <c r="Q688" s="73"/>
      <c r="R688" s="74"/>
      <c r="S688" s="47"/>
    </row>
    <row r="689" spans="1:22" s="2" customFormat="1" ht="39" customHeight="1" x14ac:dyDescent="0.25">
      <c r="A689" s="18"/>
      <c r="B689" s="122"/>
      <c r="C689" s="132" t="s">
        <v>50</v>
      </c>
      <c r="D689" s="100" t="s">
        <v>219</v>
      </c>
      <c r="E689" s="89">
        <f>SUM(E687:E688)</f>
        <v>4812.71</v>
      </c>
      <c r="F689" s="89"/>
      <c r="G689" s="87">
        <v>18106.61</v>
      </c>
      <c r="H689" s="87">
        <v>233298.22</v>
      </c>
      <c r="I689" s="87">
        <f>SUM(I687:I688)</f>
        <v>2818.0839999999998</v>
      </c>
      <c r="J689" s="87">
        <f>SUM(J687:J688)</f>
        <v>47806.85</v>
      </c>
      <c r="K689" s="87"/>
      <c r="L689" s="87"/>
      <c r="M689" s="87"/>
      <c r="N689" s="87"/>
      <c r="O689" s="87"/>
      <c r="P689" s="221" t="s">
        <v>187</v>
      </c>
      <c r="Q689" s="76"/>
      <c r="R689" s="77"/>
      <c r="S689" s="50"/>
    </row>
    <row r="690" spans="1:22" s="236" customFormat="1" ht="39" customHeight="1" x14ac:dyDescent="0.25">
      <c r="A690" s="230"/>
      <c r="B690" s="237"/>
      <c r="C690" s="131" t="s">
        <v>50</v>
      </c>
      <c r="D690" s="99" t="s">
        <v>227</v>
      </c>
      <c r="E690" s="231">
        <v>187.14</v>
      </c>
      <c r="F690" s="94">
        <v>5.6</v>
      </c>
      <c r="G690" s="232"/>
      <c r="H690" s="232"/>
      <c r="I690" s="232">
        <f>187.14*5.6</f>
        <v>1047.9839999999999</v>
      </c>
      <c r="J690" s="232">
        <f>187.14*95</f>
        <v>17778.3</v>
      </c>
      <c r="K690" s="232"/>
      <c r="L690" s="232"/>
      <c r="M690" s="232"/>
      <c r="N690" s="232"/>
      <c r="O690" s="232"/>
      <c r="P690" s="233" t="s">
        <v>234</v>
      </c>
      <c r="Q690" s="247"/>
      <c r="R690" s="248"/>
      <c r="S690" s="235"/>
    </row>
    <row r="691" spans="1:22" s="2" customFormat="1" ht="39" customHeight="1" x14ac:dyDescent="0.25">
      <c r="A691" s="18"/>
      <c r="B691" s="122"/>
      <c r="C691" s="132" t="s">
        <v>50</v>
      </c>
      <c r="D691" s="100" t="s">
        <v>228</v>
      </c>
      <c r="E691" s="89">
        <f>SUM(E689:E690)</f>
        <v>4999.8500000000004</v>
      </c>
      <c r="F691" s="89"/>
      <c r="G691" s="87">
        <f>SUM(G689:G690)</f>
        <v>18106.61</v>
      </c>
      <c r="H691" s="87">
        <f>SUM(H689:H690)</f>
        <v>233298.22</v>
      </c>
      <c r="I691" s="87">
        <f>SUM(I689:I690)</f>
        <v>3866.0679999999998</v>
      </c>
      <c r="J691" s="87">
        <f>SUM(J689:J690)</f>
        <v>65585.149999999994</v>
      </c>
      <c r="K691" s="87"/>
      <c r="L691" s="87"/>
      <c r="M691" s="87"/>
      <c r="N691" s="87"/>
      <c r="O691" s="87"/>
      <c r="P691" s="221" t="s">
        <v>244</v>
      </c>
      <c r="Q691" s="76"/>
      <c r="R691" s="77"/>
      <c r="S691" s="50"/>
    </row>
    <row r="692" spans="1:22" x14ac:dyDescent="0.25">
      <c r="A692" s="26"/>
      <c r="B692" s="26"/>
      <c r="C692" s="26"/>
      <c r="D692" s="37"/>
      <c r="E692" s="78"/>
      <c r="F692" s="79"/>
      <c r="G692" s="79"/>
      <c r="H692" s="79"/>
      <c r="I692" s="79"/>
      <c r="J692" s="79"/>
      <c r="K692" s="37"/>
      <c r="L692" s="37"/>
      <c r="M692" s="37"/>
      <c r="N692" s="37"/>
      <c r="O692" s="37"/>
      <c r="P692" s="37"/>
      <c r="Q692" s="37"/>
      <c r="R692" s="80"/>
      <c r="S692" s="55"/>
    </row>
    <row r="693" spans="1:22" ht="42" customHeight="1" x14ac:dyDescent="0.25">
      <c r="A693" s="16"/>
      <c r="B693" s="168" t="s">
        <v>51</v>
      </c>
      <c r="C693" s="169" t="s">
        <v>52</v>
      </c>
      <c r="D693" s="160">
        <v>2011</v>
      </c>
      <c r="E693" s="161">
        <v>567</v>
      </c>
      <c r="F693" s="141">
        <v>3.67</v>
      </c>
      <c r="G693" s="94">
        <v>2627.72</v>
      </c>
      <c r="H693" s="94">
        <v>3402</v>
      </c>
      <c r="I693" s="84"/>
      <c r="J693" s="84"/>
      <c r="K693" s="84"/>
      <c r="L693" s="119"/>
      <c r="M693" s="119"/>
      <c r="N693" s="119"/>
      <c r="O693" s="119"/>
      <c r="P693" s="84">
        <v>0</v>
      </c>
      <c r="Q693" s="38"/>
      <c r="R693" s="75"/>
      <c r="S693" s="51"/>
    </row>
    <row r="694" spans="1:22" x14ac:dyDescent="0.25">
      <c r="A694" s="16"/>
      <c r="B694" s="170"/>
      <c r="C694" s="169" t="s">
        <v>52</v>
      </c>
      <c r="D694" s="160">
        <v>2012</v>
      </c>
      <c r="E694" s="161">
        <v>695</v>
      </c>
      <c r="F694" s="141">
        <v>7.6</v>
      </c>
      <c r="G694" s="94">
        <v>5031.78</v>
      </c>
      <c r="H694" s="94">
        <v>9552</v>
      </c>
      <c r="I694" s="84"/>
      <c r="J694" s="84"/>
      <c r="K694" s="84"/>
      <c r="L694" s="119"/>
      <c r="M694" s="119"/>
      <c r="N694" s="119"/>
      <c r="O694" s="119"/>
      <c r="P694" s="84">
        <v>0</v>
      </c>
      <c r="Q694" s="38"/>
      <c r="R694" s="75"/>
      <c r="S694" s="51"/>
    </row>
    <row r="695" spans="1:22" ht="36.75" customHeight="1" x14ac:dyDescent="0.25">
      <c r="A695" s="18"/>
      <c r="B695" s="171"/>
      <c r="C695" s="172" t="s">
        <v>52</v>
      </c>
      <c r="D695" s="96" t="s">
        <v>25</v>
      </c>
      <c r="E695" s="89">
        <f>SUM(E693:E694)</f>
        <v>1262</v>
      </c>
      <c r="F695" s="87"/>
      <c r="G695" s="87">
        <f>SUM(G693:G694)</f>
        <v>7659.5</v>
      </c>
      <c r="H695" s="87">
        <f t="shared" ref="H695" si="218">SUM(H693:H694)</f>
        <v>12954</v>
      </c>
      <c r="I695" s="87"/>
      <c r="J695" s="87"/>
      <c r="K695" s="87"/>
      <c r="L695" s="122"/>
      <c r="M695" s="122"/>
      <c r="N695" s="122"/>
      <c r="O695" s="122"/>
      <c r="P695" s="87">
        <v>0</v>
      </c>
      <c r="Q695" s="76"/>
      <c r="R695" s="77"/>
      <c r="S695" s="50"/>
    </row>
    <row r="696" spans="1:22" x14ac:dyDescent="0.25">
      <c r="A696" s="16"/>
      <c r="B696" s="170"/>
      <c r="C696" s="169" t="s">
        <v>52</v>
      </c>
      <c r="D696" s="160">
        <v>2013</v>
      </c>
      <c r="E696" s="161">
        <v>700</v>
      </c>
      <c r="F696" s="141">
        <v>7.6</v>
      </c>
      <c r="G696" s="94">
        <v>5335.2</v>
      </c>
      <c r="H696" s="94">
        <v>18246</v>
      </c>
      <c r="I696" s="84"/>
      <c r="J696" s="84"/>
      <c r="K696" s="84"/>
      <c r="L696" s="119"/>
      <c r="M696" s="119"/>
      <c r="N696" s="119"/>
      <c r="O696" s="119"/>
      <c r="P696" s="84">
        <v>0</v>
      </c>
      <c r="Q696" s="38"/>
      <c r="R696" s="75"/>
      <c r="S696" s="51"/>
    </row>
    <row r="697" spans="1:22" ht="39.75" customHeight="1" x14ac:dyDescent="0.25">
      <c r="A697" s="18"/>
      <c r="B697" s="171"/>
      <c r="C697" s="172" t="s">
        <v>52</v>
      </c>
      <c r="D697" s="96" t="s">
        <v>38</v>
      </c>
      <c r="E697" s="89">
        <f>SUM(E695:E696)</f>
        <v>1962</v>
      </c>
      <c r="F697" s="87"/>
      <c r="G697" s="87">
        <f>SUM(G695:G696)</f>
        <v>12994.7</v>
      </c>
      <c r="H697" s="87">
        <f t="shared" ref="H697" si="219">SUM(H695:H696)</f>
        <v>31200</v>
      </c>
      <c r="I697" s="87"/>
      <c r="J697" s="87"/>
      <c r="K697" s="87"/>
      <c r="L697" s="122"/>
      <c r="M697" s="122"/>
      <c r="N697" s="122"/>
      <c r="O697" s="122"/>
      <c r="P697" s="87">
        <v>0</v>
      </c>
      <c r="Q697" s="76"/>
      <c r="R697" s="77"/>
      <c r="S697" s="50"/>
    </row>
    <row r="698" spans="1:22" x14ac:dyDescent="0.25">
      <c r="A698" s="16"/>
      <c r="B698" s="119"/>
      <c r="C698" s="169" t="s">
        <v>52</v>
      </c>
      <c r="D698" s="160">
        <v>2014</v>
      </c>
      <c r="E698" s="161">
        <v>694</v>
      </c>
      <c r="F698" s="141">
        <v>7.6</v>
      </c>
      <c r="G698" s="94">
        <v>5274.4</v>
      </c>
      <c r="H698" s="94">
        <v>20944</v>
      </c>
      <c r="I698" s="84"/>
      <c r="J698" s="84"/>
      <c r="K698" s="84"/>
      <c r="L698" s="119"/>
      <c r="M698" s="119"/>
      <c r="N698" s="119"/>
      <c r="O698" s="119"/>
      <c r="P698" s="84">
        <v>0</v>
      </c>
      <c r="Q698" s="38"/>
      <c r="R698" s="75"/>
      <c r="S698" s="51"/>
    </row>
    <row r="699" spans="1:22" ht="38.25" customHeight="1" x14ac:dyDescent="0.25">
      <c r="A699" s="18"/>
      <c r="B699" s="122"/>
      <c r="C699" s="172" t="s">
        <v>52</v>
      </c>
      <c r="D699" s="96" t="s">
        <v>24</v>
      </c>
      <c r="E699" s="89">
        <f>SUM(E697:E698)</f>
        <v>2656</v>
      </c>
      <c r="F699" s="87"/>
      <c r="G699" s="87">
        <f>SUM(G697:G698)</f>
        <v>18269.099999999999</v>
      </c>
      <c r="H699" s="87">
        <f t="shared" ref="H699" si="220">SUM(H697:H698)</f>
        <v>52144</v>
      </c>
      <c r="I699" s="87"/>
      <c r="J699" s="87"/>
      <c r="K699" s="87"/>
      <c r="L699" s="122"/>
      <c r="M699" s="122"/>
      <c r="N699" s="122"/>
      <c r="O699" s="122"/>
      <c r="P699" s="87">
        <v>0</v>
      </c>
      <c r="Q699" s="76"/>
      <c r="R699" s="77"/>
      <c r="S699" s="50"/>
    </row>
    <row r="700" spans="1:22" x14ac:dyDescent="0.25">
      <c r="A700" s="16"/>
      <c r="B700" s="119"/>
      <c r="C700" s="169" t="s">
        <v>52</v>
      </c>
      <c r="D700" s="160">
        <v>2015</v>
      </c>
      <c r="E700" s="137">
        <v>694</v>
      </c>
      <c r="F700" s="84">
        <v>25.27</v>
      </c>
      <c r="G700" s="94">
        <v>18021.12</v>
      </c>
      <c r="H700" s="94">
        <v>19090</v>
      </c>
      <c r="I700" s="84"/>
      <c r="J700" s="84"/>
      <c r="K700" s="84"/>
      <c r="L700" s="119"/>
      <c r="M700" s="119"/>
      <c r="N700" s="119"/>
      <c r="O700" s="119"/>
      <c r="P700" s="179">
        <v>69554</v>
      </c>
      <c r="Q700" s="38"/>
      <c r="R700" s="75"/>
      <c r="S700" s="51"/>
    </row>
    <row r="701" spans="1:22" ht="36.75" customHeight="1" x14ac:dyDescent="0.25">
      <c r="A701" s="18"/>
      <c r="B701" s="122"/>
      <c r="C701" s="172" t="s">
        <v>52</v>
      </c>
      <c r="D701" s="96" t="s">
        <v>26</v>
      </c>
      <c r="E701" s="89">
        <f>SUM(E699:E700)</f>
        <v>3350</v>
      </c>
      <c r="F701" s="87"/>
      <c r="G701" s="87">
        <f>SUM(G699:G700)</f>
        <v>36290.22</v>
      </c>
      <c r="H701" s="87">
        <f t="shared" ref="H701:H703" si="221">SUM(H699:H700)</f>
        <v>71234</v>
      </c>
      <c r="I701" s="87"/>
      <c r="J701" s="87"/>
      <c r="K701" s="87"/>
      <c r="L701" s="122"/>
      <c r="M701" s="122"/>
      <c r="N701" s="122"/>
      <c r="O701" s="122"/>
      <c r="P701" s="185">
        <v>69554</v>
      </c>
      <c r="Q701" s="76"/>
      <c r="R701" s="77"/>
      <c r="S701" s="50"/>
      <c r="V701" s="2"/>
    </row>
    <row r="702" spans="1:22" x14ac:dyDescent="0.25">
      <c r="A702" s="16"/>
      <c r="B702" s="119"/>
      <c r="C702" s="169" t="s">
        <v>52</v>
      </c>
      <c r="D702" s="99" t="s">
        <v>29</v>
      </c>
      <c r="E702" s="137">
        <v>174</v>
      </c>
      <c r="F702" s="153">
        <v>25.27</v>
      </c>
      <c r="G702" s="94">
        <v>4396.9799999999996</v>
      </c>
      <c r="H702" s="94">
        <v>6264</v>
      </c>
      <c r="I702" s="84"/>
      <c r="J702" s="84"/>
      <c r="K702" s="84"/>
      <c r="L702" s="119"/>
      <c r="M702" s="119"/>
      <c r="N702" s="119"/>
      <c r="O702" s="119"/>
      <c r="P702" s="84">
        <v>0</v>
      </c>
      <c r="Q702" s="38"/>
      <c r="R702" s="75"/>
      <c r="S702" s="51"/>
    </row>
    <row r="703" spans="1:22" ht="38.25" x14ac:dyDescent="0.25">
      <c r="A703" s="18"/>
      <c r="B703" s="122"/>
      <c r="C703" s="172" t="s">
        <v>52</v>
      </c>
      <c r="D703" s="100" t="s">
        <v>30</v>
      </c>
      <c r="E703" s="89">
        <f>SUM(E701:E702)</f>
        <v>3524</v>
      </c>
      <c r="F703" s="87"/>
      <c r="G703" s="87">
        <f>SUM(G701:G702)</f>
        <v>40687.199999999997</v>
      </c>
      <c r="H703" s="87">
        <f t="shared" si="221"/>
        <v>77498</v>
      </c>
      <c r="I703" s="87"/>
      <c r="J703" s="87"/>
      <c r="K703" s="87"/>
      <c r="L703" s="122"/>
      <c r="M703" s="122"/>
      <c r="N703" s="122"/>
      <c r="O703" s="122"/>
      <c r="P703" s="185">
        <v>69554</v>
      </c>
      <c r="Q703" s="76"/>
      <c r="R703" s="77"/>
      <c r="S703" s="50"/>
    </row>
    <row r="704" spans="1:22" x14ac:dyDescent="0.25">
      <c r="A704" s="16"/>
      <c r="B704" s="119"/>
      <c r="C704" s="169" t="s">
        <v>52</v>
      </c>
      <c r="D704" s="99" t="s">
        <v>31</v>
      </c>
      <c r="E704" s="137">
        <v>186</v>
      </c>
      <c r="F704" s="153">
        <v>25.27</v>
      </c>
      <c r="G704" s="94">
        <v>4700.22</v>
      </c>
      <c r="H704" s="94">
        <v>6696</v>
      </c>
      <c r="I704" s="84"/>
      <c r="J704" s="84"/>
      <c r="K704" s="84"/>
      <c r="L704" s="119"/>
      <c r="M704" s="119"/>
      <c r="N704" s="119"/>
      <c r="O704" s="119"/>
      <c r="P704" s="179">
        <v>4800</v>
      </c>
      <c r="Q704" s="38"/>
      <c r="R704" s="75"/>
      <c r="S704" s="51"/>
    </row>
    <row r="705" spans="1:19" ht="45.75" customHeight="1" x14ac:dyDescent="0.25">
      <c r="A705" s="18"/>
      <c r="B705" s="122"/>
      <c r="C705" s="172" t="s">
        <v>52</v>
      </c>
      <c r="D705" s="100" t="s">
        <v>32</v>
      </c>
      <c r="E705" s="89">
        <f>SUM(E703:E704)</f>
        <v>3710</v>
      </c>
      <c r="F705" s="87"/>
      <c r="G705" s="87">
        <f>SUM(G703:G704)</f>
        <v>45387.42</v>
      </c>
      <c r="H705" s="87">
        <f t="shared" ref="H705" si="222">SUM(H703:H704)</f>
        <v>84194</v>
      </c>
      <c r="I705" s="87"/>
      <c r="J705" s="87"/>
      <c r="K705" s="87"/>
      <c r="L705" s="122"/>
      <c r="M705" s="122"/>
      <c r="N705" s="122"/>
      <c r="O705" s="122"/>
      <c r="P705" s="185">
        <f>SUM(P703:P704)</f>
        <v>74354</v>
      </c>
      <c r="Q705" s="76"/>
      <c r="R705" s="77"/>
      <c r="S705" s="50"/>
    </row>
    <row r="706" spans="1:19" s="2" customFormat="1" ht="45.75" customHeight="1" x14ac:dyDescent="0.25">
      <c r="A706" s="20"/>
      <c r="B706" s="129"/>
      <c r="C706" s="226" t="s">
        <v>52</v>
      </c>
      <c r="D706" s="104"/>
      <c r="E706" s="93">
        <v>0</v>
      </c>
      <c r="F706" s="94"/>
      <c r="G706" s="94"/>
      <c r="H706" s="94"/>
      <c r="I706" s="94"/>
      <c r="J706" s="94"/>
      <c r="K706" s="94"/>
      <c r="L706" s="129"/>
      <c r="M706" s="129"/>
      <c r="N706" s="129"/>
      <c r="O706" s="129"/>
      <c r="P706" s="225">
        <v>8400</v>
      </c>
      <c r="Q706" s="73"/>
      <c r="R706" s="73"/>
      <c r="S706" s="47"/>
    </row>
    <row r="707" spans="1:19" s="2" customFormat="1" ht="45.75" customHeight="1" x14ac:dyDescent="0.25">
      <c r="A707" s="18"/>
      <c r="B707" s="122"/>
      <c r="C707" s="224" t="s">
        <v>52</v>
      </c>
      <c r="D707" s="100" t="s">
        <v>32</v>
      </c>
      <c r="E707" s="89">
        <v>3710</v>
      </c>
      <c r="F707" s="87"/>
      <c r="G707" s="87">
        <v>45387.42</v>
      </c>
      <c r="H707" s="87">
        <v>84194</v>
      </c>
      <c r="I707" s="87"/>
      <c r="J707" s="87"/>
      <c r="K707" s="87"/>
      <c r="L707" s="122"/>
      <c r="M707" s="122"/>
      <c r="N707" s="122"/>
      <c r="O707" s="122"/>
      <c r="P707" s="185">
        <f>P705+P706</f>
        <v>82754</v>
      </c>
      <c r="Q707" s="76"/>
      <c r="R707" s="76"/>
      <c r="S707" s="50"/>
    </row>
    <row r="708" spans="1:19" s="2" customFormat="1" ht="45.75" customHeight="1" x14ac:dyDescent="0.25">
      <c r="A708" s="251"/>
      <c r="B708" s="122"/>
      <c r="C708" s="224" t="s">
        <v>52</v>
      </c>
      <c r="D708" s="100" t="s">
        <v>214</v>
      </c>
      <c r="E708" s="224"/>
      <c r="F708" s="224"/>
      <c r="G708" s="87">
        <v>45387.42</v>
      </c>
      <c r="H708" s="87">
        <v>84194</v>
      </c>
      <c r="I708" s="224"/>
      <c r="J708" s="224"/>
      <c r="K708" s="87"/>
      <c r="L708" s="87"/>
      <c r="M708" s="87"/>
      <c r="N708" s="87"/>
      <c r="O708" s="87"/>
      <c r="P708" s="185" t="s">
        <v>213</v>
      </c>
      <c r="Q708" s="87"/>
      <c r="R708" s="87"/>
      <c r="S708" s="87"/>
    </row>
    <row r="709" spans="1:19" ht="35.25" customHeight="1" x14ac:dyDescent="0.25">
      <c r="A709" s="260" t="s">
        <v>62</v>
      </c>
      <c r="B709" s="261"/>
      <c r="C709" s="261"/>
      <c r="D709" s="261"/>
      <c r="E709" s="261"/>
      <c r="F709" s="261"/>
      <c r="G709" s="261"/>
      <c r="H709" s="261"/>
      <c r="I709" s="261"/>
      <c r="J709" s="261"/>
      <c r="K709" s="261"/>
      <c r="L709" s="261"/>
      <c r="M709" s="261"/>
      <c r="N709" s="261"/>
      <c r="O709" s="261"/>
      <c r="P709" s="261"/>
      <c r="Q709" s="261"/>
      <c r="R709" s="261"/>
      <c r="S709" s="262"/>
    </row>
    <row r="710" spans="1:19" x14ac:dyDescent="0.25">
      <c r="G710" s="192"/>
      <c r="H710" s="192"/>
    </row>
    <row r="711" spans="1:19" x14ac:dyDescent="0.25">
      <c r="G711" s="193"/>
      <c r="H711" s="193"/>
    </row>
    <row r="712" spans="1:19" x14ac:dyDescent="0.25">
      <c r="G712" s="193"/>
      <c r="H712" s="193"/>
    </row>
    <row r="713" spans="1:19" x14ac:dyDescent="0.25">
      <c r="G713" s="193"/>
      <c r="H713" s="193"/>
    </row>
    <row r="714" spans="1:19" x14ac:dyDescent="0.25">
      <c r="G714" s="193"/>
      <c r="H714" s="193"/>
    </row>
    <row r="715" spans="1:19" x14ac:dyDescent="0.25">
      <c r="G715" s="193"/>
      <c r="H715" s="193"/>
    </row>
    <row r="716" spans="1:19" x14ac:dyDescent="0.25">
      <c r="G716" s="193"/>
      <c r="H716" s="193"/>
    </row>
    <row r="717" spans="1:19" x14ac:dyDescent="0.25">
      <c r="G717" s="193"/>
      <c r="H717" s="193"/>
    </row>
    <row r="718" spans="1:19" x14ac:dyDescent="0.25">
      <c r="G718" s="193"/>
      <c r="H718" s="193"/>
    </row>
    <row r="719" spans="1:19" x14ac:dyDescent="0.25">
      <c r="G719" s="193"/>
      <c r="H719" s="193"/>
    </row>
    <row r="720" spans="1:19" x14ac:dyDescent="0.25">
      <c r="G720" s="193"/>
      <c r="H720" s="193"/>
    </row>
    <row r="721" spans="7:8" x14ac:dyDescent="0.25">
      <c r="G721" s="193"/>
      <c r="H721" s="193"/>
    </row>
    <row r="722" spans="7:8" x14ac:dyDescent="0.25">
      <c r="G722" s="193"/>
      <c r="H722" s="193"/>
    </row>
    <row r="723" spans="7:8" x14ac:dyDescent="0.25">
      <c r="G723" s="193"/>
      <c r="H723" s="193"/>
    </row>
    <row r="724" spans="7:8" x14ac:dyDescent="0.25">
      <c r="G724" s="193"/>
      <c r="H724" s="193"/>
    </row>
    <row r="725" spans="7:8" x14ac:dyDescent="0.25">
      <c r="G725" s="193"/>
      <c r="H725" s="193"/>
    </row>
    <row r="726" spans="7:8" x14ac:dyDescent="0.25">
      <c r="G726" s="193"/>
      <c r="H726" s="193"/>
    </row>
    <row r="727" spans="7:8" x14ac:dyDescent="0.25">
      <c r="G727" s="193"/>
      <c r="H727" s="193"/>
    </row>
    <row r="728" spans="7:8" x14ac:dyDescent="0.25">
      <c r="G728" s="193"/>
      <c r="H728" s="193"/>
    </row>
    <row r="729" spans="7:8" x14ac:dyDescent="0.25">
      <c r="G729" s="193"/>
      <c r="H729" s="193"/>
    </row>
    <row r="730" spans="7:8" x14ac:dyDescent="0.25">
      <c r="G730" s="193"/>
      <c r="H730" s="193"/>
    </row>
    <row r="731" spans="7:8" x14ac:dyDescent="0.25">
      <c r="G731" s="193"/>
      <c r="H731" s="193"/>
    </row>
    <row r="732" spans="7:8" x14ac:dyDescent="0.25">
      <c r="G732" s="193"/>
      <c r="H732" s="193"/>
    </row>
    <row r="733" spans="7:8" x14ac:dyDescent="0.25">
      <c r="G733" s="193"/>
      <c r="H733" s="193"/>
    </row>
    <row r="734" spans="7:8" x14ac:dyDescent="0.25">
      <c r="G734" s="193"/>
      <c r="H734" s="193"/>
    </row>
    <row r="735" spans="7:8" x14ac:dyDescent="0.25">
      <c r="G735" s="193"/>
      <c r="H735" s="193"/>
    </row>
    <row r="736" spans="7:8" x14ac:dyDescent="0.25">
      <c r="G736" s="193"/>
      <c r="H736" s="193"/>
    </row>
    <row r="737" spans="7:8" x14ac:dyDescent="0.25">
      <c r="G737" s="193"/>
      <c r="H737" s="193"/>
    </row>
    <row r="738" spans="7:8" x14ac:dyDescent="0.25">
      <c r="G738" s="193"/>
      <c r="H738" s="193"/>
    </row>
    <row r="739" spans="7:8" x14ac:dyDescent="0.25">
      <c r="G739" s="193"/>
      <c r="H739" s="193"/>
    </row>
    <row r="740" spans="7:8" x14ac:dyDescent="0.25">
      <c r="G740" s="193"/>
      <c r="H740" s="193"/>
    </row>
    <row r="741" spans="7:8" x14ac:dyDescent="0.25">
      <c r="G741" s="193"/>
      <c r="H741" s="193"/>
    </row>
    <row r="742" spans="7:8" x14ac:dyDescent="0.25">
      <c r="G742" s="193"/>
      <c r="H742" s="193"/>
    </row>
    <row r="743" spans="7:8" x14ac:dyDescent="0.25">
      <c r="G743" s="193"/>
      <c r="H743" s="193"/>
    </row>
    <row r="744" spans="7:8" x14ac:dyDescent="0.25">
      <c r="G744" s="193"/>
      <c r="H744" s="193"/>
    </row>
    <row r="745" spans="7:8" x14ac:dyDescent="0.25">
      <c r="G745" s="193"/>
      <c r="H745" s="193"/>
    </row>
    <row r="746" spans="7:8" x14ac:dyDescent="0.25">
      <c r="G746" s="193"/>
      <c r="H746" s="193"/>
    </row>
    <row r="747" spans="7:8" x14ac:dyDescent="0.25">
      <c r="G747" s="193"/>
      <c r="H747" s="193"/>
    </row>
  </sheetData>
  <mergeCells count="25">
    <mergeCell ref="A1:S1"/>
    <mergeCell ref="E2:S2"/>
    <mergeCell ref="Q3:Q6"/>
    <mergeCell ref="R3:R6"/>
    <mergeCell ref="I3:I6"/>
    <mergeCell ref="J3:J6"/>
    <mergeCell ref="K3:K6"/>
    <mergeCell ref="L3:L6"/>
    <mergeCell ref="M3:M6"/>
    <mergeCell ref="C2:D2"/>
    <mergeCell ref="A3:A6"/>
    <mergeCell ref="B3:B6"/>
    <mergeCell ref="C3:C6"/>
    <mergeCell ref="P3:P6"/>
    <mergeCell ref="D3:E5"/>
    <mergeCell ref="F3:F6"/>
    <mergeCell ref="L84:M84"/>
    <mergeCell ref="L160:M160"/>
    <mergeCell ref="S247:S248"/>
    <mergeCell ref="A709:S709"/>
    <mergeCell ref="S3:S6"/>
    <mergeCell ref="G3:H5"/>
    <mergeCell ref="N3:N6"/>
    <mergeCell ref="O3:O6"/>
    <mergeCell ref="L170:M170"/>
  </mergeCells>
  <pageMargins left="0.7" right="0.7" top="0.75" bottom="0.75" header="0.3" footer="0.3"/>
  <pageSetup paperSize="9" orientation="landscape" verticalDpi="300" r:id="rId1"/>
  <ignoredErrors>
    <ignoredError sqref="P125 P213 P298 P438 P506 P574 E188 E45 H132 G132 P223 E134 H125 P705 P154" formulaRange="1"/>
    <ignoredError sqref="G188 G191 G194 G197 G201 G204 G207 G210 G213 G282:G286 G287 G292:G293 G294:G299 G350:G358 G363:G369 G420:G421 G422:G439 G487:G488 G489:G495 G500:G501 G502:G503 G504:G507 G555:G563 G568:G574 G625:G633 G638:G641 G642:G644 H372 G45 G126:G127 G38 G29 G35 G223:H223 G511:H511 G443:H443 G375:H375 G304:H304 G650:H650 G135:H135 G133:H134 G51:H51 G136:H136 G305:H306 G376:G378 H376:H378 G444:H444 G512:H512 G582:H582 G651:H652 G445:H445 G513:H513 G226 G514:H514 G446:H447 G307:H307 G583:H583 G653:H653 G448:H448 G58 G141:G142 H142 G659:H659 G589:H589 G449:H449 G658 G588 G519:G530 G450:G461 G383:G387 G312:G316 G233 G236:H236 H313:H316 H384:H387 H451:H457 H520:H526 H147 G61:H61 H66 G590:H591 G660:H661 H239 G592:H592 G662:H662 G321:G322 H243 G667:G670 G597:G600 G392:G395 G73 G152:G153 G76 G154:G155 G249 H395 H461 H530 H600 G532:H532 H670 G397:H397 G463:H463 G326 G160:H160 G602:H602 G672:H672 G85 G464:H465 G533:H534 G604:H604 G606:H606 H261 H260 G332:I332 J332 G403:J403 G469:J469 H538:J538 G608:J608 G678:J678 G603:H603 G536:H536 H467 G46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Petq Pancheva</cp:lastModifiedBy>
  <cp:lastPrinted>2017-10-27T10:14:04Z</cp:lastPrinted>
  <dcterms:created xsi:type="dcterms:W3CDTF">2017-02-08T09:35:09Z</dcterms:created>
  <dcterms:modified xsi:type="dcterms:W3CDTF">2023-01-30T07:13:09Z</dcterms:modified>
</cp:coreProperties>
</file>