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65" windowWidth="8595" windowHeight="80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Лист1!$A$1:$S$32</definedName>
  </definedNames>
  <calcPr calcId="145621" iterate="1"/>
</workbook>
</file>

<file path=xl/calcChain.xml><?xml version="1.0" encoding="utf-8"?>
<calcChain xmlns="http://schemas.openxmlformats.org/spreadsheetml/2006/main">
  <c r="J327" i="1" l="1"/>
  <c r="I327" i="1"/>
  <c r="J326" i="1"/>
  <c r="I326" i="1"/>
  <c r="J260" i="1"/>
  <c r="I260" i="1"/>
  <c r="G260" i="1"/>
  <c r="J168" i="1" l="1"/>
  <c r="I168" i="1"/>
  <c r="H170" i="1" l="1"/>
  <c r="H99" i="1"/>
  <c r="H651" i="1" l="1"/>
  <c r="G651" i="1"/>
  <c r="E651" i="1"/>
  <c r="J650" i="1"/>
  <c r="I650" i="1"/>
  <c r="H650" i="1"/>
  <c r="G650" i="1"/>
  <c r="H585" i="1"/>
  <c r="G585" i="1"/>
  <c r="E585" i="1"/>
  <c r="J584" i="1"/>
  <c r="I584" i="1"/>
  <c r="H584" i="1"/>
  <c r="G584" i="1"/>
  <c r="H519" i="1"/>
  <c r="G519" i="1"/>
  <c r="E519" i="1"/>
  <c r="J518" i="1"/>
  <c r="I518" i="1"/>
  <c r="H518" i="1"/>
  <c r="G518" i="1"/>
  <c r="H455" i="1"/>
  <c r="G455" i="1"/>
  <c r="E455" i="1"/>
  <c r="J454" i="1"/>
  <c r="I454" i="1"/>
  <c r="H454" i="1"/>
  <c r="G454" i="1"/>
  <c r="H393" i="1"/>
  <c r="G393" i="1"/>
  <c r="E393" i="1"/>
  <c r="J392" i="1"/>
  <c r="I392" i="1"/>
  <c r="H392" i="1"/>
  <c r="G392" i="1"/>
  <c r="H260" i="1"/>
  <c r="H261" i="1" s="1"/>
  <c r="H326" i="1"/>
  <c r="J390" i="1"/>
  <c r="I388" i="1"/>
  <c r="G326" i="1"/>
  <c r="H327" i="1"/>
  <c r="G327" i="1"/>
  <c r="E327" i="1"/>
  <c r="G261" i="1"/>
  <c r="E261" i="1"/>
  <c r="E170" i="1"/>
  <c r="J170" i="1"/>
  <c r="I170" i="1"/>
  <c r="G99" i="1" l="1"/>
  <c r="E99" i="1"/>
  <c r="J97" i="1"/>
  <c r="I97" i="1"/>
  <c r="H97" i="1"/>
  <c r="G97" i="1"/>
  <c r="J166" i="1" l="1"/>
  <c r="I166" i="1"/>
  <c r="H166" i="1"/>
  <c r="G166" i="1"/>
  <c r="G95" i="1" l="1"/>
  <c r="H95" i="1"/>
  <c r="J95" i="1"/>
  <c r="I95" i="1"/>
  <c r="J648" i="1" l="1"/>
  <c r="J649" i="1" s="1"/>
  <c r="I648" i="1"/>
  <c r="I649" i="1" s="1"/>
  <c r="J582" i="1"/>
  <c r="J583" i="1" s="1"/>
  <c r="I582" i="1"/>
  <c r="I583" i="1" s="1"/>
  <c r="J516" i="1"/>
  <c r="J517" i="1" s="1"/>
  <c r="I516" i="1"/>
  <c r="I517" i="1" s="1"/>
  <c r="J452" i="1"/>
  <c r="J453" i="1" s="1"/>
  <c r="I452" i="1"/>
  <c r="I453" i="1" s="1"/>
  <c r="J391" i="1"/>
  <c r="I390" i="1"/>
  <c r="I391" i="1" s="1"/>
  <c r="J324" i="1"/>
  <c r="J325" i="1" s="1"/>
  <c r="I324" i="1"/>
  <c r="I325" i="1" s="1"/>
  <c r="J258" i="1"/>
  <c r="J259" i="1" s="1"/>
  <c r="I258" i="1"/>
  <c r="I259" i="1" s="1"/>
  <c r="H86" i="1" l="1"/>
  <c r="G252" i="1" l="1"/>
  <c r="J93" i="1" l="1"/>
  <c r="I93" i="1"/>
  <c r="G93" i="1" l="1"/>
  <c r="H93" i="1"/>
  <c r="J256" i="1"/>
  <c r="I256" i="1"/>
  <c r="H256" i="1"/>
  <c r="G256" i="1"/>
  <c r="J646" i="1"/>
  <c r="I646" i="1"/>
  <c r="H646" i="1"/>
  <c r="G646" i="1"/>
  <c r="J580" i="1" l="1"/>
  <c r="I580" i="1"/>
  <c r="H580" i="1"/>
  <c r="G580" i="1"/>
  <c r="J514" i="1"/>
  <c r="I514" i="1"/>
  <c r="H514" i="1"/>
  <c r="G514" i="1"/>
  <c r="J450" i="1"/>
  <c r="I450" i="1"/>
  <c r="H450" i="1"/>
  <c r="G450" i="1"/>
  <c r="J388" i="1"/>
  <c r="H388" i="1"/>
  <c r="G388" i="1"/>
  <c r="J322" i="1"/>
  <c r="I322" i="1"/>
  <c r="H322" i="1"/>
  <c r="G322" i="1"/>
  <c r="J164" i="1"/>
  <c r="I164" i="1"/>
  <c r="I512" i="1" l="1"/>
  <c r="J254" i="1" l="1"/>
  <c r="I254" i="1"/>
  <c r="J320" i="1"/>
  <c r="I320" i="1"/>
  <c r="J448" i="1"/>
  <c r="I448" i="1"/>
  <c r="J512" i="1"/>
  <c r="J578" i="1"/>
  <c r="I578" i="1"/>
  <c r="J644" i="1"/>
  <c r="I644" i="1"/>
  <c r="H644" i="1"/>
  <c r="G644" i="1"/>
  <c r="H578" i="1"/>
  <c r="G578" i="1"/>
  <c r="H254" i="1"/>
  <c r="G254" i="1"/>
  <c r="H320" i="1"/>
  <c r="G320" i="1"/>
  <c r="H386" i="1"/>
  <c r="G386" i="1"/>
  <c r="H448" i="1"/>
  <c r="G448" i="1"/>
  <c r="H512" i="1"/>
  <c r="G512" i="1"/>
  <c r="J386" i="1" l="1"/>
  <c r="I386" i="1"/>
  <c r="H91" i="1" l="1"/>
  <c r="G91" i="1"/>
  <c r="J162" i="1" l="1"/>
  <c r="I162" i="1" l="1"/>
  <c r="G510" i="1"/>
  <c r="J252" i="1" l="1"/>
  <c r="I252" i="1"/>
  <c r="H252" i="1"/>
  <c r="H640" i="1"/>
  <c r="G640" i="1"/>
  <c r="H250" i="1"/>
  <c r="G250" i="1"/>
  <c r="H316" i="1"/>
  <c r="G316" i="1"/>
  <c r="H382" i="1"/>
  <c r="G382" i="1"/>
  <c r="H444" i="1"/>
  <c r="G444" i="1"/>
  <c r="H508" i="1"/>
  <c r="G508" i="1"/>
  <c r="H574" i="1"/>
  <c r="G574" i="1"/>
  <c r="J642" i="1" l="1"/>
  <c r="I642" i="1"/>
  <c r="H642" i="1"/>
  <c r="G642" i="1"/>
  <c r="J576" i="1"/>
  <c r="I576" i="1"/>
  <c r="H576" i="1"/>
  <c r="G576" i="1"/>
  <c r="J510" i="1"/>
  <c r="I510" i="1"/>
  <c r="H510" i="1"/>
  <c r="J446" i="1"/>
  <c r="I446" i="1"/>
  <c r="H446" i="1"/>
  <c r="G446" i="1"/>
  <c r="J384" i="1"/>
  <c r="I384" i="1"/>
  <c r="H384" i="1"/>
  <c r="G384" i="1"/>
  <c r="J318" i="1"/>
  <c r="I318" i="1"/>
  <c r="H318" i="1"/>
  <c r="G318" i="1"/>
  <c r="I163" i="1" l="1"/>
  <c r="I165" i="1" s="1"/>
  <c r="I167" i="1" s="1"/>
  <c r="I160" i="1"/>
  <c r="J160" i="1"/>
  <c r="J163" i="1" s="1"/>
  <c r="J165" i="1" s="1"/>
  <c r="J167" i="1" s="1"/>
  <c r="H89" i="1"/>
  <c r="G89" i="1"/>
  <c r="I643" i="1"/>
  <c r="J643" i="1"/>
  <c r="J577" i="1"/>
  <c r="I577" i="1"/>
  <c r="J511" i="1"/>
  <c r="I511" i="1"/>
  <c r="J447" i="1"/>
  <c r="I447" i="1"/>
  <c r="J385" i="1"/>
  <c r="I385" i="1"/>
  <c r="J319" i="1"/>
  <c r="I319" i="1"/>
  <c r="I253" i="1"/>
  <c r="J253" i="1"/>
  <c r="G442" i="1" l="1"/>
  <c r="J157" i="1"/>
  <c r="I157" i="1"/>
  <c r="H84" i="1"/>
  <c r="G84" i="1"/>
  <c r="I84" i="1"/>
  <c r="J84" i="1"/>
  <c r="G86" i="1"/>
  <c r="K84" i="1" l="1"/>
  <c r="H572" i="1"/>
  <c r="G572" i="1"/>
  <c r="H506" i="1"/>
  <c r="G506" i="1"/>
  <c r="H442" i="1"/>
  <c r="J155" i="1" l="1"/>
  <c r="J156" i="1" s="1"/>
  <c r="I155" i="1"/>
  <c r="I156" i="1" s="1"/>
  <c r="H155" i="1"/>
  <c r="G155" i="1"/>
  <c r="H636" i="1"/>
  <c r="G636" i="1"/>
  <c r="H634" i="1"/>
  <c r="H570" i="1"/>
  <c r="G570" i="1"/>
  <c r="K155" i="1" l="1"/>
  <c r="K156" i="1" s="1"/>
  <c r="H504" i="1"/>
  <c r="G504" i="1"/>
  <c r="H440" i="1"/>
  <c r="G440" i="1"/>
  <c r="H378" i="1"/>
  <c r="G378" i="1"/>
  <c r="H312" i="1"/>
  <c r="H313" i="1" s="1"/>
  <c r="H315" i="1" s="1"/>
  <c r="H317" i="1" s="1"/>
  <c r="H319" i="1" s="1"/>
  <c r="H321" i="1" s="1"/>
  <c r="H323" i="1" s="1"/>
  <c r="H325" i="1" s="1"/>
  <c r="G312" i="1"/>
  <c r="H245" i="1"/>
  <c r="H244" i="1"/>
  <c r="G245" i="1"/>
  <c r="G244" i="1"/>
  <c r="H153" i="1"/>
  <c r="G153" i="1"/>
  <c r="H82" i="1"/>
  <c r="H81" i="1"/>
  <c r="G82" i="1"/>
  <c r="G81" i="1"/>
  <c r="P80" i="1" l="1"/>
  <c r="P83" i="1" s="1"/>
  <c r="P85" i="1" s="1"/>
  <c r="G634" i="1"/>
  <c r="H568" i="1"/>
  <c r="G568" i="1"/>
  <c r="H502" i="1"/>
  <c r="G502" i="1"/>
  <c r="H438" i="1"/>
  <c r="G438" i="1"/>
  <c r="H376" i="1"/>
  <c r="G376" i="1"/>
  <c r="H242" i="1"/>
  <c r="H241" i="1"/>
  <c r="G242" i="1"/>
  <c r="G241" i="1"/>
  <c r="H150" i="1"/>
  <c r="G150" i="1"/>
  <c r="H78" i="1"/>
  <c r="H77" i="1"/>
  <c r="G78" i="1"/>
  <c r="G77" i="1"/>
  <c r="P149" i="1" l="1"/>
  <c r="P152" i="1" s="1"/>
  <c r="P154" i="1" l="1"/>
  <c r="P156" i="1" s="1"/>
  <c r="H146" i="1"/>
  <c r="G146" i="1"/>
  <c r="G148" i="1"/>
  <c r="H72" i="1"/>
  <c r="H71" i="1"/>
  <c r="G72" i="1"/>
  <c r="G71" i="1"/>
  <c r="G75" i="1"/>
  <c r="G74" i="1"/>
  <c r="G374" i="1" l="1"/>
  <c r="G436" i="1"/>
  <c r="G500" i="1"/>
  <c r="G566" i="1"/>
  <c r="G632" i="1"/>
  <c r="H630" i="1"/>
  <c r="G630" i="1"/>
  <c r="H564" i="1"/>
  <c r="G564" i="1"/>
  <c r="H498" i="1"/>
  <c r="G498" i="1"/>
  <c r="H434" i="1"/>
  <c r="G434" i="1"/>
  <c r="H372" i="1"/>
  <c r="G372" i="1"/>
  <c r="G239" i="1" l="1"/>
  <c r="G238" i="1"/>
  <c r="H236" i="1"/>
  <c r="H235" i="1"/>
  <c r="G236" i="1"/>
  <c r="G235" i="1"/>
  <c r="H306" i="1"/>
  <c r="G306" i="1"/>
  <c r="G308" i="1"/>
  <c r="E307" i="1" l="1"/>
  <c r="E309" i="1" s="1"/>
  <c r="E311" i="1" s="1"/>
  <c r="E313" i="1" s="1"/>
  <c r="E315" i="1" s="1"/>
  <c r="E317" i="1" s="1"/>
  <c r="E319" i="1" s="1"/>
  <c r="E321" i="1" s="1"/>
  <c r="E323" i="1" s="1"/>
  <c r="E325" i="1" s="1"/>
  <c r="E373" i="1"/>
  <c r="E375" i="1" s="1"/>
  <c r="E377" i="1" s="1"/>
  <c r="E379" i="1" s="1"/>
  <c r="E381" i="1" s="1"/>
  <c r="E383" i="1" s="1"/>
  <c r="E385" i="1" s="1"/>
  <c r="E387" i="1" s="1"/>
  <c r="E389" i="1" s="1"/>
  <c r="E391" i="1" s="1"/>
  <c r="H627" i="1" l="1"/>
  <c r="G627" i="1"/>
  <c r="H561" i="1"/>
  <c r="G561" i="1"/>
  <c r="H496" i="1"/>
  <c r="G496" i="1"/>
  <c r="H432" i="1"/>
  <c r="G432" i="1"/>
  <c r="H369" i="1"/>
  <c r="G369" i="1"/>
  <c r="H303" i="1"/>
  <c r="G303" i="1"/>
  <c r="H233" i="1"/>
  <c r="G233" i="1"/>
  <c r="H231" i="1"/>
  <c r="G231" i="1"/>
  <c r="H143" i="1" l="1"/>
  <c r="G143" i="1"/>
  <c r="H68" i="1"/>
  <c r="G68" i="1"/>
  <c r="H67" i="1"/>
  <c r="G67" i="1"/>
  <c r="G70" i="1" l="1"/>
  <c r="G73" i="1" s="1"/>
  <c r="G76" i="1" s="1"/>
  <c r="G80" i="1" s="1"/>
  <c r="G83" i="1" s="1"/>
  <c r="G85" i="1" s="1"/>
  <c r="G88" i="1" s="1"/>
  <c r="G90" i="1" s="1"/>
  <c r="G92" i="1" s="1"/>
  <c r="G94" i="1" s="1"/>
  <c r="G96" i="1" s="1"/>
  <c r="H625" i="1"/>
  <c r="G625" i="1"/>
  <c r="H559" i="1"/>
  <c r="G559" i="1"/>
  <c r="H494" i="1"/>
  <c r="G494" i="1"/>
  <c r="H430" i="1"/>
  <c r="G430" i="1"/>
  <c r="H367" i="1"/>
  <c r="G367" i="1"/>
  <c r="H301" i="1"/>
  <c r="G301" i="1"/>
  <c r="H229" i="1"/>
  <c r="G229" i="1"/>
  <c r="H228" i="1"/>
  <c r="G228" i="1"/>
  <c r="P142" i="1" l="1"/>
  <c r="P145" i="1" s="1"/>
  <c r="H140" i="1" l="1"/>
  <c r="G140" i="1"/>
  <c r="H63" i="1"/>
  <c r="H62" i="1"/>
  <c r="G63" i="1"/>
  <c r="G62" i="1"/>
  <c r="H138" i="1"/>
  <c r="G138" i="1"/>
  <c r="H64" i="1"/>
  <c r="G64" i="1"/>
  <c r="H226" i="1" l="1"/>
  <c r="H225" i="1"/>
  <c r="G226" i="1"/>
  <c r="G225" i="1"/>
  <c r="H299" i="1"/>
  <c r="G299" i="1"/>
  <c r="H365" i="1"/>
  <c r="G365" i="1"/>
  <c r="H428" i="1"/>
  <c r="G428" i="1"/>
  <c r="H492" i="1"/>
  <c r="G492" i="1"/>
  <c r="H557" i="1"/>
  <c r="G557" i="1"/>
  <c r="H623" i="1"/>
  <c r="G623" i="1"/>
  <c r="H137" i="1" l="1"/>
  <c r="G137" i="1"/>
  <c r="H60" i="1"/>
  <c r="G60" i="1"/>
  <c r="H59" i="1"/>
  <c r="G59" i="1"/>
  <c r="H57" i="1"/>
  <c r="G57" i="1"/>
  <c r="H56" i="1"/>
  <c r="G56" i="1"/>
  <c r="H135" i="1"/>
  <c r="G135" i="1"/>
  <c r="H621" i="1" l="1"/>
  <c r="G621" i="1"/>
  <c r="H555" i="1"/>
  <c r="G555" i="1"/>
  <c r="H490" i="1"/>
  <c r="G490" i="1"/>
  <c r="H426" i="1"/>
  <c r="G426" i="1"/>
  <c r="H363" i="1"/>
  <c r="G363" i="1"/>
  <c r="H297" i="1"/>
  <c r="G297" i="1"/>
  <c r="H223" i="1"/>
  <c r="H222" i="1"/>
  <c r="G223" i="1"/>
  <c r="G222" i="1"/>
  <c r="H618" i="1" l="1"/>
  <c r="G618" i="1"/>
  <c r="H552" i="1"/>
  <c r="G552" i="1"/>
  <c r="H294" i="1"/>
  <c r="G294" i="1"/>
  <c r="H360" i="1"/>
  <c r="G360" i="1"/>
  <c r="H424" i="1"/>
  <c r="G424" i="1"/>
  <c r="H487" i="1"/>
  <c r="G487" i="1"/>
  <c r="H219" i="1"/>
  <c r="G219" i="1"/>
  <c r="G218" i="1"/>
  <c r="P224" i="1" l="1"/>
  <c r="P227" i="1" s="1"/>
  <c r="P230" i="1" s="1"/>
  <c r="P298" i="1"/>
  <c r="P300" i="1" s="1"/>
  <c r="P302" i="1" s="1"/>
  <c r="P305" i="1" s="1"/>
  <c r="P364" i="1"/>
  <c r="P366" i="1" s="1"/>
  <c r="P368" i="1" s="1"/>
  <c r="P371" i="1" s="1"/>
  <c r="P427" i="1"/>
  <c r="P429" i="1" s="1"/>
  <c r="P431" i="1" s="1"/>
  <c r="P433" i="1" s="1"/>
  <c r="P491" i="1"/>
  <c r="P493" i="1" s="1"/>
  <c r="P495" i="1" s="1"/>
  <c r="P497" i="1" s="1"/>
  <c r="P556" i="1"/>
  <c r="P558" i="1" s="1"/>
  <c r="P560" i="1" s="1"/>
  <c r="P563" i="1" s="1"/>
  <c r="P622" i="1"/>
  <c r="P624" i="1" s="1"/>
  <c r="P626" i="1" s="1"/>
  <c r="P629" i="1" s="1"/>
  <c r="P234" i="1" l="1"/>
  <c r="P237" i="1" s="1"/>
  <c r="H616" i="1"/>
  <c r="G616" i="1"/>
  <c r="H550" i="1"/>
  <c r="G550" i="1"/>
  <c r="H485" i="1"/>
  <c r="G485" i="1"/>
  <c r="H422" i="1"/>
  <c r="G422" i="1"/>
  <c r="H358" i="1"/>
  <c r="G358" i="1"/>
  <c r="H292" i="1"/>
  <c r="G292" i="1"/>
  <c r="H216" i="1"/>
  <c r="H215" i="1"/>
  <c r="G216" i="1"/>
  <c r="G215" i="1"/>
  <c r="H132" i="1" l="1"/>
  <c r="G132" i="1"/>
  <c r="H53" i="1"/>
  <c r="G53" i="1"/>
  <c r="H52" i="1"/>
  <c r="G52" i="1"/>
  <c r="H128" i="1" l="1"/>
  <c r="G128" i="1"/>
  <c r="H130" i="1"/>
  <c r="G130" i="1"/>
  <c r="P51" i="1"/>
  <c r="P55" i="1" s="1"/>
  <c r="P58" i="1" s="1"/>
  <c r="P61" i="1" s="1"/>
  <c r="P66" i="1" s="1"/>
  <c r="P70" i="1" s="1"/>
  <c r="P73" i="1" s="1"/>
  <c r="H50" i="1"/>
  <c r="G50" i="1"/>
  <c r="H212" i="1"/>
  <c r="H614" i="1"/>
  <c r="G614" i="1"/>
  <c r="H290" i="1"/>
  <c r="G290" i="1"/>
  <c r="H356" i="1"/>
  <c r="G356" i="1"/>
  <c r="H420" i="1"/>
  <c r="G420" i="1"/>
  <c r="H483" i="1"/>
  <c r="G483" i="1"/>
  <c r="H213" i="1" l="1"/>
  <c r="G213" i="1"/>
  <c r="H14" i="1" l="1"/>
  <c r="H18" i="1" s="1"/>
  <c r="H22" i="1" s="1"/>
  <c r="H26" i="1" s="1"/>
  <c r="H29" i="1" s="1"/>
  <c r="H32" i="1" s="1"/>
  <c r="H35" i="1" s="1"/>
  <c r="H38" i="1" s="1"/>
  <c r="H42" i="1" s="1"/>
  <c r="G14" i="1"/>
  <c r="H120" i="1" l="1"/>
  <c r="H122" i="1" s="1"/>
  <c r="H125" i="1" s="1"/>
  <c r="G120" i="1"/>
  <c r="G34" i="1" l="1"/>
  <c r="E129" i="1" l="1"/>
  <c r="E131" i="1" s="1"/>
  <c r="E134" i="1" s="1"/>
  <c r="E136" i="1" s="1"/>
  <c r="E139" i="1" s="1"/>
  <c r="E142" i="1" s="1"/>
  <c r="E145" i="1" s="1"/>
  <c r="E147" i="1" s="1"/>
  <c r="E149" i="1" s="1"/>
  <c r="E152" i="1" s="1"/>
  <c r="E154" i="1" s="1"/>
  <c r="E156" i="1" s="1"/>
  <c r="E159" i="1" s="1"/>
  <c r="E161" i="1" s="1"/>
  <c r="E163" i="1" s="1"/>
  <c r="E165" i="1" s="1"/>
  <c r="E167" i="1" s="1"/>
  <c r="P214" i="1" l="1"/>
  <c r="P665" i="1" l="1"/>
  <c r="P667" i="1" s="1"/>
  <c r="H176" i="1"/>
  <c r="E176" i="1"/>
  <c r="P127" i="1" l="1"/>
  <c r="P129" i="1" s="1"/>
  <c r="P131" i="1" s="1"/>
  <c r="P134" i="1" s="1"/>
  <c r="P136" i="1" s="1"/>
  <c r="H127" i="1"/>
  <c r="H129" i="1" s="1"/>
  <c r="H131" i="1" s="1"/>
  <c r="H134" i="1" s="1"/>
  <c r="H136" i="1" s="1"/>
  <c r="H139" i="1" s="1"/>
  <c r="H142" i="1" s="1"/>
  <c r="H145" i="1" s="1"/>
  <c r="H147" i="1" s="1"/>
  <c r="H149" i="1" s="1"/>
  <c r="H152" i="1" s="1"/>
  <c r="H154" i="1" s="1"/>
  <c r="H156" i="1" s="1"/>
  <c r="H159" i="1" s="1"/>
  <c r="H161" i="1" s="1"/>
  <c r="H163" i="1" s="1"/>
  <c r="H165" i="1" s="1"/>
  <c r="H167" i="1" s="1"/>
  <c r="E45" i="1"/>
  <c r="E48" i="1" s="1"/>
  <c r="E51" i="1" s="1"/>
  <c r="E55" i="1" s="1"/>
  <c r="E58" i="1" s="1"/>
  <c r="E61" i="1" s="1"/>
  <c r="E66" i="1" s="1"/>
  <c r="E70" i="1" s="1"/>
  <c r="E73" i="1" s="1"/>
  <c r="E76" i="1" s="1"/>
  <c r="H44" i="1"/>
  <c r="H45" i="1" s="1"/>
  <c r="H48" i="1" s="1"/>
  <c r="H51" i="1" s="1"/>
  <c r="H55" i="1" s="1"/>
  <c r="H58" i="1" s="1"/>
  <c r="H61" i="1" s="1"/>
  <c r="H66" i="1" s="1"/>
  <c r="H70" i="1" s="1"/>
  <c r="H73" i="1" s="1"/>
  <c r="H76" i="1" s="1"/>
  <c r="G44" i="1"/>
  <c r="H80" i="1" l="1"/>
  <c r="E80" i="1"/>
  <c r="G609" i="1"/>
  <c r="G607" i="1"/>
  <c r="G605" i="1"/>
  <c r="G603" i="1"/>
  <c r="G601" i="1"/>
  <c r="G598" i="1"/>
  <c r="G596" i="1"/>
  <c r="G594" i="1"/>
  <c r="G592" i="1"/>
  <c r="G590" i="1"/>
  <c r="H589" i="1"/>
  <c r="H591" i="1" s="1"/>
  <c r="H593" i="1" s="1"/>
  <c r="H595" i="1" s="1"/>
  <c r="H597" i="1" s="1"/>
  <c r="H600" i="1" s="1"/>
  <c r="H602" i="1" s="1"/>
  <c r="H604" i="1" s="1"/>
  <c r="H606" i="1" s="1"/>
  <c r="H608" i="1" s="1"/>
  <c r="H611" i="1" s="1"/>
  <c r="H613" i="1" s="1"/>
  <c r="H615" i="1" s="1"/>
  <c r="H617" i="1" s="1"/>
  <c r="H620" i="1" s="1"/>
  <c r="H622" i="1" s="1"/>
  <c r="H624" i="1" s="1"/>
  <c r="H626" i="1" s="1"/>
  <c r="H629" i="1" s="1"/>
  <c r="H631" i="1" s="1"/>
  <c r="H633" i="1" s="1"/>
  <c r="H635" i="1" s="1"/>
  <c r="H637" i="1" s="1"/>
  <c r="H639" i="1" s="1"/>
  <c r="H641" i="1" s="1"/>
  <c r="H643" i="1" s="1"/>
  <c r="H645" i="1" s="1"/>
  <c r="H647" i="1" s="1"/>
  <c r="H649" i="1" s="1"/>
  <c r="E589" i="1"/>
  <c r="E591" i="1" s="1"/>
  <c r="E593" i="1" s="1"/>
  <c r="E595" i="1" s="1"/>
  <c r="E597" i="1" s="1"/>
  <c r="E600" i="1" s="1"/>
  <c r="E602" i="1" s="1"/>
  <c r="E604" i="1" s="1"/>
  <c r="E606" i="1" s="1"/>
  <c r="E608" i="1" s="1"/>
  <c r="E611" i="1" s="1"/>
  <c r="E613" i="1" s="1"/>
  <c r="E615" i="1" s="1"/>
  <c r="E617" i="1" s="1"/>
  <c r="E620" i="1" s="1"/>
  <c r="E622" i="1" s="1"/>
  <c r="E624" i="1" s="1"/>
  <c r="E626" i="1" s="1"/>
  <c r="E629" i="1" s="1"/>
  <c r="E631" i="1" s="1"/>
  <c r="E633" i="1" s="1"/>
  <c r="E635" i="1" s="1"/>
  <c r="E637" i="1" s="1"/>
  <c r="E639" i="1" s="1"/>
  <c r="E641" i="1" s="1"/>
  <c r="E643" i="1" s="1"/>
  <c r="E645" i="1" s="1"/>
  <c r="E647" i="1" s="1"/>
  <c r="E649" i="1" s="1"/>
  <c r="G588" i="1"/>
  <c r="G587" i="1"/>
  <c r="G543" i="1"/>
  <c r="G541" i="1"/>
  <c r="G539" i="1"/>
  <c r="G537" i="1"/>
  <c r="G535" i="1"/>
  <c r="G532" i="1"/>
  <c r="G530" i="1"/>
  <c r="G528" i="1"/>
  <c r="G526" i="1"/>
  <c r="G524" i="1"/>
  <c r="H523" i="1"/>
  <c r="H525" i="1" s="1"/>
  <c r="H527" i="1" s="1"/>
  <c r="H529" i="1" s="1"/>
  <c r="H531" i="1" s="1"/>
  <c r="H534" i="1" s="1"/>
  <c r="H536" i="1" s="1"/>
  <c r="H538" i="1" s="1"/>
  <c r="H540" i="1" s="1"/>
  <c r="H542" i="1" s="1"/>
  <c r="H545" i="1" s="1"/>
  <c r="H547" i="1" s="1"/>
  <c r="H549" i="1" s="1"/>
  <c r="H551" i="1" s="1"/>
  <c r="H554" i="1" s="1"/>
  <c r="H556" i="1" s="1"/>
  <c r="H558" i="1" s="1"/>
  <c r="H560" i="1" s="1"/>
  <c r="H563" i="1" s="1"/>
  <c r="H565" i="1" s="1"/>
  <c r="H567" i="1" s="1"/>
  <c r="H569" i="1" s="1"/>
  <c r="H571" i="1" s="1"/>
  <c r="H573" i="1" s="1"/>
  <c r="H575" i="1" s="1"/>
  <c r="H577" i="1" s="1"/>
  <c r="H579" i="1" s="1"/>
  <c r="H581" i="1" s="1"/>
  <c r="H583" i="1" s="1"/>
  <c r="E523" i="1"/>
  <c r="E525" i="1" s="1"/>
  <c r="E527" i="1" s="1"/>
  <c r="E529" i="1" s="1"/>
  <c r="E531" i="1" s="1"/>
  <c r="E534" i="1" s="1"/>
  <c r="E536" i="1" s="1"/>
  <c r="E538" i="1" s="1"/>
  <c r="E540" i="1" s="1"/>
  <c r="E542" i="1" s="1"/>
  <c r="E545" i="1" s="1"/>
  <c r="E547" i="1" s="1"/>
  <c r="E549" i="1" s="1"/>
  <c r="E551" i="1" s="1"/>
  <c r="E554" i="1" s="1"/>
  <c r="E556" i="1" s="1"/>
  <c r="E558" i="1" s="1"/>
  <c r="E560" i="1" s="1"/>
  <c r="E563" i="1" s="1"/>
  <c r="E565" i="1" s="1"/>
  <c r="E567" i="1" s="1"/>
  <c r="E569" i="1" s="1"/>
  <c r="E571" i="1" s="1"/>
  <c r="E573" i="1" s="1"/>
  <c r="E575" i="1" s="1"/>
  <c r="E577" i="1" s="1"/>
  <c r="E579" i="1" s="1"/>
  <c r="E581" i="1" s="1"/>
  <c r="E583" i="1" s="1"/>
  <c r="G522" i="1"/>
  <c r="G521" i="1"/>
  <c r="G479" i="1"/>
  <c r="G477" i="1"/>
  <c r="G475" i="1"/>
  <c r="G473" i="1"/>
  <c r="G471" i="1"/>
  <c r="G468" i="1"/>
  <c r="G466" i="1"/>
  <c r="G464" i="1"/>
  <c r="G462" i="1"/>
  <c r="G460" i="1"/>
  <c r="H459" i="1"/>
  <c r="H461" i="1" s="1"/>
  <c r="H463" i="1" s="1"/>
  <c r="H465" i="1" s="1"/>
  <c r="H467" i="1" s="1"/>
  <c r="H470" i="1" s="1"/>
  <c r="H472" i="1" s="1"/>
  <c r="H474" i="1" s="1"/>
  <c r="H476" i="1" s="1"/>
  <c r="H478" i="1" s="1"/>
  <c r="H480" i="1" s="1"/>
  <c r="H482" i="1" s="1"/>
  <c r="H484" i="1" s="1"/>
  <c r="H486" i="1" s="1"/>
  <c r="H489" i="1" s="1"/>
  <c r="H491" i="1" s="1"/>
  <c r="H493" i="1" s="1"/>
  <c r="H495" i="1" s="1"/>
  <c r="H497" i="1" s="1"/>
  <c r="H499" i="1" s="1"/>
  <c r="H501" i="1" s="1"/>
  <c r="H503" i="1" s="1"/>
  <c r="H505" i="1" s="1"/>
  <c r="H507" i="1" s="1"/>
  <c r="H509" i="1" s="1"/>
  <c r="H511" i="1" s="1"/>
  <c r="H513" i="1" s="1"/>
  <c r="H515" i="1" s="1"/>
  <c r="H517" i="1" s="1"/>
  <c r="E459" i="1"/>
  <c r="E461" i="1" s="1"/>
  <c r="E463" i="1" s="1"/>
  <c r="E465" i="1" s="1"/>
  <c r="E467" i="1" s="1"/>
  <c r="E470" i="1" s="1"/>
  <c r="E472" i="1" s="1"/>
  <c r="E474" i="1" s="1"/>
  <c r="E476" i="1" s="1"/>
  <c r="E478" i="1" s="1"/>
  <c r="E480" i="1" s="1"/>
  <c r="E482" i="1" s="1"/>
  <c r="E484" i="1" s="1"/>
  <c r="E486" i="1" s="1"/>
  <c r="E489" i="1" s="1"/>
  <c r="E491" i="1" s="1"/>
  <c r="E493" i="1" s="1"/>
  <c r="E495" i="1" s="1"/>
  <c r="E497" i="1" s="1"/>
  <c r="E499" i="1" s="1"/>
  <c r="E501" i="1" s="1"/>
  <c r="E503" i="1" s="1"/>
  <c r="E505" i="1" s="1"/>
  <c r="E507" i="1" s="1"/>
  <c r="E509" i="1" s="1"/>
  <c r="E511" i="1" s="1"/>
  <c r="E513" i="1" s="1"/>
  <c r="E515" i="1" s="1"/>
  <c r="E517" i="1" s="1"/>
  <c r="G458" i="1"/>
  <c r="G457" i="1"/>
  <c r="G416" i="1"/>
  <c r="G414" i="1"/>
  <c r="G412" i="1"/>
  <c r="G410" i="1"/>
  <c r="G408" i="1"/>
  <c r="G406" i="1"/>
  <c r="G404" i="1"/>
  <c r="G402" i="1"/>
  <c r="G400" i="1"/>
  <c r="G398" i="1"/>
  <c r="H397" i="1"/>
  <c r="H399" i="1" s="1"/>
  <c r="H401" i="1" s="1"/>
  <c r="H403" i="1" s="1"/>
  <c r="H405" i="1" s="1"/>
  <c r="H407" i="1" s="1"/>
  <c r="H409" i="1" s="1"/>
  <c r="H411" i="1" s="1"/>
  <c r="H413" i="1" s="1"/>
  <c r="H415" i="1" s="1"/>
  <c r="H417" i="1" s="1"/>
  <c r="H419" i="1" s="1"/>
  <c r="H421" i="1" s="1"/>
  <c r="H423" i="1" s="1"/>
  <c r="H425" i="1" s="1"/>
  <c r="H427" i="1" s="1"/>
  <c r="H429" i="1" s="1"/>
  <c r="H431" i="1" s="1"/>
  <c r="H433" i="1" s="1"/>
  <c r="H435" i="1" s="1"/>
  <c r="H437" i="1" s="1"/>
  <c r="H439" i="1" s="1"/>
  <c r="H441" i="1" s="1"/>
  <c r="H443" i="1" s="1"/>
  <c r="H445" i="1" s="1"/>
  <c r="H447" i="1" s="1"/>
  <c r="H449" i="1" s="1"/>
  <c r="H451" i="1" s="1"/>
  <c r="H453" i="1" s="1"/>
  <c r="E397" i="1"/>
  <c r="E399" i="1" s="1"/>
  <c r="E401" i="1" s="1"/>
  <c r="E403" i="1" s="1"/>
  <c r="E405" i="1" s="1"/>
  <c r="E407" i="1" s="1"/>
  <c r="E409" i="1" s="1"/>
  <c r="E411" i="1" s="1"/>
  <c r="E413" i="1" s="1"/>
  <c r="E415" i="1" s="1"/>
  <c r="E417" i="1" s="1"/>
  <c r="E419" i="1" s="1"/>
  <c r="E421" i="1" s="1"/>
  <c r="E423" i="1" s="1"/>
  <c r="E425" i="1" s="1"/>
  <c r="E427" i="1" s="1"/>
  <c r="E429" i="1" s="1"/>
  <c r="E431" i="1" s="1"/>
  <c r="E433" i="1" s="1"/>
  <c r="E435" i="1" s="1"/>
  <c r="E437" i="1" s="1"/>
  <c r="E439" i="1" s="1"/>
  <c r="E441" i="1" s="1"/>
  <c r="E443" i="1" s="1"/>
  <c r="E445" i="1" s="1"/>
  <c r="E447" i="1" s="1"/>
  <c r="E449" i="1" s="1"/>
  <c r="E451" i="1" s="1"/>
  <c r="E453" i="1" s="1"/>
  <c r="G396" i="1"/>
  <c r="G395" i="1"/>
  <c r="G351" i="1"/>
  <c r="G349" i="1"/>
  <c r="G347" i="1"/>
  <c r="G345" i="1"/>
  <c r="G343" i="1"/>
  <c r="G340" i="1"/>
  <c r="G338" i="1"/>
  <c r="G336" i="1"/>
  <c r="G334" i="1"/>
  <c r="G332" i="1"/>
  <c r="H331" i="1"/>
  <c r="H333" i="1" s="1"/>
  <c r="H335" i="1" s="1"/>
  <c r="H337" i="1" s="1"/>
  <c r="H339" i="1" s="1"/>
  <c r="H342" i="1" s="1"/>
  <c r="H344" i="1" s="1"/>
  <c r="H346" i="1" s="1"/>
  <c r="H348" i="1" s="1"/>
  <c r="H350" i="1" s="1"/>
  <c r="E331" i="1"/>
  <c r="E333" i="1" s="1"/>
  <c r="E335" i="1" s="1"/>
  <c r="E337" i="1" s="1"/>
  <c r="E339" i="1" s="1"/>
  <c r="E342" i="1" s="1"/>
  <c r="E344" i="1" s="1"/>
  <c r="E346" i="1" s="1"/>
  <c r="E348" i="1" s="1"/>
  <c r="E350" i="1" s="1"/>
  <c r="E353" i="1" s="1"/>
  <c r="E355" i="1" s="1"/>
  <c r="E357" i="1" s="1"/>
  <c r="E359" i="1" s="1"/>
  <c r="E362" i="1" s="1"/>
  <c r="E364" i="1" s="1"/>
  <c r="E366" i="1" s="1"/>
  <c r="E368" i="1" s="1"/>
  <c r="G330" i="1"/>
  <c r="G329" i="1"/>
  <c r="E83" i="1" l="1"/>
  <c r="E85" i="1" s="1"/>
  <c r="E88" i="1" s="1"/>
  <c r="E90" i="1" s="1"/>
  <c r="E92" i="1" s="1"/>
  <c r="E94" i="1" s="1"/>
  <c r="E96" i="1" s="1"/>
  <c r="H83" i="1"/>
  <c r="H85" i="1" s="1"/>
  <c r="H88" i="1" s="1"/>
  <c r="H90" i="1" s="1"/>
  <c r="H92" i="1" s="1"/>
  <c r="H94" i="1" s="1"/>
  <c r="H96" i="1" s="1"/>
  <c r="G331" i="1"/>
  <c r="G333" i="1" s="1"/>
  <c r="G335" i="1" s="1"/>
  <c r="G337" i="1" s="1"/>
  <c r="G339" i="1" s="1"/>
  <c r="G342" i="1" s="1"/>
  <c r="G344" i="1" s="1"/>
  <c r="G346" i="1" s="1"/>
  <c r="G348" i="1" s="1"/>
  <c r="G350" i="1" s="1"/>
  <c r="G353" i="1" s="1"/>
  <c r="G355" i="1" s="1"/>
  <c r="G357" i="1" s="1"/>
  <c r="G359" i="1" s="1"/>
  <c r="G362" i="1" s="1"/>
  <c r="G364" i="1" s="1"/>
  <c r="G366" i="1" s="1"/>
  <c r="G368" i="1" s="1"/>
  <c r="G371" i="1" s="1"/>
  <c r="G373" i="1" s="1"/>
  <c r="G375" i="1" s="1"/>
  <c r="G377" i="1" s="1"/>
  <c r="G379" i="1" s="1"/>
  <c r="G381" i="1" s="1"/>
  <c r="G383" i="1" s="1"/>
  <c r="G385" i="1" s="1"/>
  <c r="G387" i="1" s="1"/>
  <c r="G389" i="1" s="1"/>
  <c r="G391" i="1" s="1"/>
  <c r="G397" i="1"/>
  <c r="G399" i="1" s="1"/>
  <c r="G401" i="1" s="1"/>
  <c r="G403" i="1" s="1"/>
  <c r="G405" i="1" s="1"/>
  <c r="G407" i="1" s="1"/>
  <c r="G409" i="1" s="1"/>
  <c r="G411" i="1" s="1"/>
  <c r="G413" i="1" s="1"/>
  <c r="G415" i="1" s="1"/>
  <c r="G417" i="1" s="1"/>
  <c r="G419" i="1" s="1"/>
  <c r="G421" i="1" s="1"/>
  <c r="G423" i="1" s="1"/>
  <c r="G425" i="1" s="1"/>
  <c r="G427" i="1" s="1"/>
  <c r="G429" i="1" s="1"/>
  <c r="G431" i="1" s="1"/>
  <c r="G433" i="1" s="1"/>
  <c r="G435" i="1" s="1"/>
  <c r="G437" i="1" s="1"/>
  <c r="G439" i="1" s="1"/>
  <c r="G441" i="1" s="1"/>
  <c r="G443" i="1" s="1"/>
  <c r="G445" i="1" s="1"/>
  <c r="G447" i="1" s="1"/>
  <c r="G449" i="1" s="1"/>
  <c r="G451" i="1" s="1"/>
  <c r="G453" i="1" s="1"/>
  <c r="G459" i="1"/>
  <c r="G461" i="1" s="1"/>
  <c r="G463" i="1" s="1"/>
  <c r="G465" i="1" s="1"/>
  <c r="G467" i="1" s="1"/>
  <c r="G470" i="1" s="1"/>
  <c r="G472" i="1" s="1"/>
  <c r="G474" i="1" s="1"/>
  <c r="G476" i="1" s="1"/>
  <c r="G478" i="1" s="1"/>
  <c r="G480" i="1" s="1"/>
  <c r="G482" i="1" s="1"/>
  <c r="G484" i="1" s="1"/>
  <c r="G486" i="1" s="1"/>
  <c r="G489" i="1" s="1"/>
  <c r="G491" i="1" s="1"/>
  <c r="G493" i="1" s="1"/>
  <c r="G495" i="1" s="1"/>
  <c r="G497" i="1" s="1"/>
  <c r="G499" i="1" s="1"/>
  <c r="G501" i="1" s="1"/>
  <c r="G503" i="1" s="1"/>
  <c r="G505" i="1" s="1"/>
  <c r="G507" i="1" s="1"/>
  <c r="G509" i="1" s="1"/>
  <c r="G511" i="1" s="1"/>
  <c r="G513" i="1" s="1"/>
  <c r="G515" i="1" s="1"/>
  <c r="G517" i="1" s="1"/>
  <c r="G523" i="1"/>
  <c r="G525" i="1" s="1"/>
  <c r="G527" i="1" s="1"/>
  <c r="G529" i="1" s="1"/>
  <c r="G531" i="1" s="1"/>
  <c r="G534" i="1" s="1"/>
  <c r="G536" i="1" s="1"/>
  <c r="G538" i="1" s="1"/>
  <c r="G540" i="1" s="1"/>
  <c r="G542" i="1" s="1"/>
  <c r="G545" i="1" s="1"/>
  <c r="G547" i="1" s="1"/>
  <c r="G549" i="1" s="1"/>
  <c r="G551" i="1" s="1"/>
  <c r="G554" i="1" s="1"/>
  <c r="G556" i="1" s="1"/>
  <c r="G558" i="1" s="1"/>
  <c r="G560" i="1" s="1"/>
  <c r="G563" i="1" s="1"/>
  <c r="G565" i="1" s="1"/>
  <c r="G567" i="1" s="1"/>
  <c r="G569" i="1" s="1"/>
  <c r="G571" i="1" s="1"/>
  <c r="G573" i="1" s="1"/>
  <c r="G575" i="1" s="1"/>
  <c r="G577" i="1" s="1"/>
  <c r="G579" i="1" s="1"/>
  <c r="G581" i="1" s="1"/>
  <c r="G583" i="1" s="1"/>
  <c r="G589" i="1"/>
  <c r="G591" i="1" s="1"/>
  <c r="G593" i="1" s="1"/>
  <c r="G595" i="1" s="1"/>
  <c r="G597" i="1" s="1"/>
  <c r="G600" i="1" s="1"/>
  <c r="G602" i="1" s="1"/>
  <c r="G604" i="1" s="1"/>
  <c r="G606" i="1" s="1"/>
  <c r="G608" i="1" s="1"/>
  <c r="G611" i="1" s="1"/>
  <c r="G613" i="1" s="1"/>
  <c r="G615" i="1" s="1"/>
  <c r="G617" i="1" s="1"/>
  <c r="G620" i="1" s="1"/>
  <c r="G622" i="1" s="1"/>
  <c r="G624" i="1" s="1"/>
  <c r="G626" i="1" s="1"/>
  <c r="G629" i="1" s="1"/>
  <c r="G631" i="1" s="1"/>
  <c r="G633" i="1" s="1"/>
  <c r="G635" i="1" s="1"/>
  <c r="G637" i="1" s="1"/>
  <c r="G639" i="1" s="1"/>
  <c r="G641" i="1" s="1"/>
  <c r="G643" i="1" s="1"/>
  <c r="G645" i="1" s="1"/>
  <c r="G647" i="1" s="1"/>
  <c r="G649" i="1" s="1"/>
  <c r="H353" i="1"/>
  <c r="H355" i="1" s="1"/>
  <c r="H357" i="1" s="1"/>
  <c r="H359" i="1" s="1"/>
  <c r="H362" i="1" s="1"/>
  <c r="H364" i="1" s="1"/>
  <c r="H366" i="1" s="1"/>
  <c r="H368" i="1" s="1"/>
  <c r="H371" i="1" s="1"/>
  <c r="H373" i="1" s="1"/>
  <c r="H375" i="1" s="1"/>
  <c r="H377" i="1" s="1"/>
  <c r="H379" i="1" s="1"/>
  <c r="H381" i="1" s="1"/>
  <c r="H383" i="1" s="1"/>
  <c r="H385" i="1" s="1"/>
  <c r="H387" i="1" s="1"/>
  <c r="H389" i="1" s="1"/>
  <c r="H391" i="1" s="1"/>
  <c r="G285" i="1"/>
  <c r="G283" i="1"/>
  <c r="G281" i="1" l="1"/>
  <c r="G279" i="1"/>
  <c r="G277" i="1"/>
  <c r="G274" i="1"/>
  <c r="G272" i="1"/>
  <c r="G270" i="1"/>
  <c r="G268" i="1"/>
  <c r="H265" i="1"/>
  <c r="H267" i="1" s="1"/>
  <c r="H269" i="1" s="1"/>
  <c r="H271" i="1" s="1"/>
  <c r="H273" i="1" s="1"/>
  <c r="H276" i="1" s="1"/>
  <c r="H278" i="1" s="1"/>
  <c r="H280" i="1" s="1"/>
  <c r="H282" i="1" s="1"/>
  <c r="H284" i="1" s="1"/>
  <c r="H287" i="1" s="1"/>
  <c r="H289" i="1" s="1"/>
  <c r="H291" i="1" s="1"/>
  <c r="H293" i="1" s="1"/>
  <c r="H296" i="1" s="1"/>
  <c r="H298" i="1" s="1"/>
  <c r="H300" i="1" s="1"/>
  <c r="H302" i="1" s="1"/>
  <c r="H305" i="1" s="1"/>
  <c r="H307" i="1" s="1"/>
  <c r="H309" i="1" s="1"/>
  <c r="E265" i="1"/>
  <c r="E267" i="1" s="1"/>
  <c r="E269" i="1" s="1"/>
  <c r="E271" i="1" s="1"/>
  <c r="E273" i="1" s="1"/>
  <c r="E276" i="1" s="1"/>
  <c r="E278" i="1" s="1"/>
  <c r="E280" i="1" s="1"/>
  <c r="E282" i="1" s="1"/>
  <c r="E284" i="1" s="1"/>
  <c r="E287" i="1" s="1"/>
  <c r="E289" i="1" s="1"/>
  <c r="E291" i="1" s="1"/>
  <c r="E293" i="1" s="1"/>
  <c r="E296" i="1" s="1"/>
  <c r="E298" i="1" s="1"/>
  <c r="E300" i="1" s="1"/>
  <c r="E302" i="1" s="1"/>
  <c r="G264" i="1"/>
  <c r="G263" i="1"/>
  <c r="G206" i="1"/>
  <c r="H206" i="1" s="1"/>
  <c r="G207" i="1"/>
  <c r="G205" i="1"/>
  <c r="G203" i="1"/>
  <c r="G202" i="1"/>
  <c r="G200" i="1"/>
  <c r="G199" i="1"/>
  <c r="G197" i="1"/>
  <c r="G196" i="1"/>
  <c r="G194" i="1"/>
  <c r="G193" i="1"/>
  <c r="G191" i="1"/>
  <c r="G189" i="1"/>
  <c r="G187" i="1"/>
  <c r="G186" i="1"/>
  <c r="G184" i="1"/>
  <c r="G183" i="1"/>
  <c r="G181" i="1"/>
  <c r="G180" i="1"/>
  <c r="E179" i="1"/>
  <c r="E182" i="1" s="1"/>
  <c r="E185" i="1" s="1"/>
  <c r="E188" i="1" s="1"/>
  <c r="E192" i="1" s="1"/>
  <c r="E195" i="1" s="1"/>
  <c r="E198" i="1" s="1"/>
  <c r="E201" i="1" s="1"/>
  <c r="E204" i="1" s="1"/>
  <c r="E208" i="1" s="1"/>
  <c r="E211" i="1" s="1"/>
  <c r="E214" i="1" s="1"/>
  <c r="E217" i="1" s="1"/>
  <c r="E221" i="1" s="1"/>
  <c r="E224" i="1" s="1"/>
  <c r="E227" i="1" s="1"/>
  <c r="G178" i="1"/>
  <c r="G177" i="1"/>
  <c r="H179" i="1"/>
  <c r="H182" i="1" s="1"/>
  <c r="H185" i="1" s="1"/>
  <c r="H188" i="1" s="1"/>
  <c r="H192" i="1" s="1"/>
  <c r="H195" i="1" s="1"/>
  <c r="H198" i="1" s="1"/>
  <c r="H201" i="1" s="1"/>
  <c r="H204" i="1" s="1"/>
  <c r="G173" i="1"/>
  <c r="G172" i="1"/>
  <c r="G123" i="1"/>
  <c r="G121" i="1"/>
  <c r="G122" i="1" s="1"/>
  <c r="G117" i="1"/>
  <c r="G115" i="1"/>
  <c r="G112" i="1"/>
  <c r="G110" i="1"/>
  <c r="G108" i="1"/>
  <c r="G40" i="1"/>
  <c r="G41" i="1"/>
  <c r="G39" i="1"/>
  <c r="G37" i="1"/>
  <c r="G36" i="1"/>
  <c r="G31" i="1"/>
  <c r="G30" i="1"/>
  <c r="G28" i="1"/>
  <c r="G27" i="1"/>
  <c r="G24" i="1"/>
  <c r="G23" i="1"/>
  <c r="G20" i="1"/>
  <c r="G19" i="1"/>
  <c r="G16" i="1"/>
  <c r="G15" i="1"/>
  <c r="E230" i="1" l="1"/>
  <c r="E234" i="1" s="1"/>
  <c r="E237" i="1" s="1"/>
  <c r="E240" i="1" s="1"/>
  <c r="G265" i="1"/>
  <c r="G267" i="1" s="1"/>
  <c r="G269" i="1" s="1"/>
  <c r="G271" i="1" s="1"/>
  <c r="G273" i="1" s="1"/>
  <c r="G276" i="1" s="1"/>
  <c r="G278" i="1" s="1"/>
  <c r="G280" i="1" s="1"/>
  <c r="G282" i="1" s="1"/>
  <c r="G284" i="1" s="1"/>
  <c r="G287" i="1" s="1"/>
  <c r="G289" i="1" s="1"/>
  <c r="G291" i="1" s="1"/>
  <c r="G293" i="1" s="1"/>
  <c r="G296" i="1" s="1"/>
  <c r="G298" i="1" s="1"/>
  <c r="G300" i="1" s="1"/>
  <c r="G302" i="1" s="1"/>
  <c r="G305" i="1" s="1"/>
  <c r="G307" i="1" s="1"/>
  <c r="G309" i="1" s="1"/>
  <c r="G311" i="1" s="1"/>
  <c r="G313" i="1" s="1"/>
  <c r="G315" i="1" s="1"/>
  <c r="G317" i="1" s="1"/>
  <c r="G319" i="1" s="1"/>
  <c r="G321" i="1" s="1"/>
  <c r="G323" i="1" s="1"/>
  <c r="G325" i="1" s="1"/>
  <c r="G18" i="1"/>
  <c r="G22" i="1" s="1"/>
  <c r="G26" i="1" s="1"/>
  <c r="G29" i="1" s="1"/>
  <c r="G32" i="1" s="1"/>
  <c r="G35" i="1" s="1"/>
  <c r="G38" i="1" s="1"/>
  <c r="G42" i="1" s="1"/>
  <c r="G45" i="1" s="1"/>
  <c r="G48" i="1" s="1"/>
  <c r="G51" i="1" s="1"/>
  <c r="G55" i="1" s="1"/>
  <c r="G58" i="1" s="1"/>
  <c r="G61" i="1" s="1"/>
  <c r="G125" i="1"/>
  <c r="G127" i="1" s="1"/>
  <c r="G129" i="1" s="1"/>
  <c r="G131" i="1" s="1"/>
  <c r="G134" i="1" s="1"/>
  <c r="G136" i="1" s="1"/>
  <c r="G139" i="1" s="1"/>
  <c r="G142" i="1" s="1"/>
  <c r="G145" i="1" s="1"/>
  <c r="G147" i="1" s="1"/>
  <c r="G149" i="1" s="1"/>
  <c r="G176" i="1"/>
  <c r="G179" i="1" s="1"/>
  <c r="G182" i="1" s="1"/>
  <c r="G185" i="1" s="1"/>
  <c r="G188" i="1" s="1"/>
  <c r="G192" i="1" s="1"/>
  <c r="G195" i="1" s="1"/>
  <c r="G198" i="1" s="1"/>
  <c r="G201" i="1" s="1"/>
  <c r="G204" i="1" s="1"/>
  <c r="G208" i="1" s="1"/>
  <c r="G211" i="1" s="1"/>
  <c r="G214" i="1" s="1"/>
  <c r="H208" i="1"/>
  <c r="H211" i="1" s="1"/>
  <c r="P542" i="1"/>
  <c r="P478" i="1"/>
  <c r="P415" i="1"/>
  <c r="P284" i="1"/>
  <c r="P204" i="1"/>
  <c r="E243" i="1" l="1"/>
  <c r="G152" i="1"/>
  <c r="G217" i="1"/>
  <c r="G221" i="1" s="1"/>
  <c r="G224" i="1" s="1"/>
  <c r="G227" i="1" s="1"/>
  <c r="H214" i="1"/>
  <c r="P120" i="1"/>
  <c r="E246" i="1" l="1"/>
  <c r="E249" i="1" s="1"/>
  <c r="E251" i="1" s="1"/>
  <c r="E253" i="1" s="1"/>
  <c r="E255" i="1" s="1"/>
  <c r="E257" i="1" s="1"/>
  <c r="E259" i="1" s="1"/>
  <c r="G154" i="1"/>
  <c r="G156" i="1" s="1"/>
  <c r="G159" i="1" s="1"/>
  <c r="G161" i="1" s="1"/>
  <c r="G163" i="1" s="1"/>
  <c r="G165" i="1" s="1"/>
  <c r="G167" i="1" s="1"/>
  <c r="G230" i="1"/>
  <c r="G234" i="1" s="1"/>
  <c r="G237" i="1" s="1"/>
  <c r="H217" i="1"/>
  <c r="H221" i="1" s="1"/>
  <c r="H224" i="1" s="1"/>
  <c r="H227" i="1" s="1"/>
  <c r="G240" i="1" l="1"/>
  <c r="H230" i="1"/>
  <c r="H234" i="1" s="1"/>
  <c r="H237" i="1" s="1"/>
  <c r="H240" i="1" s="1"/>
  <c r="H655" i="1"/>
  <c r="H657" i="1" s="1"/>
  <c r="H659" i="1" s="1"/>
  <c r="G655" i="1"/>
  <c r="G657" i="1" s="1"/>
  <c r="G659" i="1" s="1"/>
  <c r="E655" i="1"/>
  <c r="E657" i="1" s="1"/>
  <c r="E659" i="1" s="1"/>
  <c r="H243" i="1" l="1"/>
  <c r="G243" i="1"/>
  <c r="G661" i="1"/>
  <c r="G663" i="1" s="1"/>
  <c r="G665" i="1" s="1"/>
  <c r="E661" i="1"/>
  <c r="E663" i="1" s="1"/>
  <c r="E665" i="1" s="1"/>
  <c r="H661" i="1"/>
  <c r="H663" i="1" s="1"/>
  <c r="H665" i="1" s="1"/>
  <c r="G246" i="1" l="1"/>
  <c r="G249" i="1" s="1"/>
  <c r="G251" i="1" s="1"/>
  <c r="G253" i="1" s="1"/>
  <c r="G255" i="1" s="1"/>
  <c r="G257" i="1" s="1"/>
  <c r="G259" i="1" s="1"/>
  <c r="H246" i="1"/>
  <c r="H249" i="1" s="1"/>
  <c r="H251" i="1" s="1"/>
  <c r="H253" i="1" s="1"/>
  <c r="H255" i="1" s="1"/>
  <c r="H257" i="1" s="1"/>
  <c r="H259" i="1" s="1"/>
</calcChain>
</file>

<file path=xl/sharedStrings.xml><?xml version="1.0" encoding="utf-8"?>
<sst xmlns="http://schemas.openxmlformats.org/spreadsheetml/2006/main" count="1388" uniqueCount="219">
  <si>
    <t>РИОСВ</t>
  </si>
  <si>
    <t>ВРАЦА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</si>
  <si>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</si>
  <si>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</si>
  <si>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</si>
  <si>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</si>
  <si>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месец</t>
  </si>
  <si>
    <t>количество (т)</t>
  </si>
  <si>
    <t>Размер на отчисленията по чл. 60 (лв./тон)</t>
  </si>
  <si>
    <t>Постъпили в сметката на РИОСВ отчисления</t>
  </si>
  <si>
    <t xml:space="preserve"> по чл. 60 от ЗУО (лв.)</t>
  </si>
  <si>
    <t>по чл. 64 от  ЗУО (лв.)</t>
  </si>
  <si>
    <t>Следва да постъпят в сметката на РИОСВ отчисления по чл. 60 от ЗУО (лв.)</t>
  </si>
  <si>
    <t>Следва да постъпят в сметката на РИОСВ отчисления по чл. 64 от ЗУО (лв.)</t>
  </si>
  <si>
    <t>Обща сума на отчисленията, които следва да постъпят</t>
  </si>
  <si>
    <t>Остава да постъпят по чл.  60 (лв.)</t>
  </si>
  <si>
    <t>Остава да постъпят по чл.  64 (лв.)</t>
  </si>
  <si>
    <t>Дължима лихва за отчисленията по чл. 20 от Наредба № 7</t>
  </si>
  <si>
    <t>Натрупана лихва за отчисленията по чл. 64 от ЗУО</t>
  </si>
  <si>
    <t>Изразходени средства (лв.)</t>
  </si>
  <si>
    <t>Депонирани количества неопасни отпадъци, за които отчисленията по чл. 20 от Наредба № 7 се увеличават с 15 на сто</t>
  </si>
  <si>
    <t>Дължими отчисления по чл. 20, ал. 3 от Наредбата № 7 (лв.)</t>
  </si>
  <si>
    <t>РДНО - Враца, Мездра</t>
  </si>
  <si>
    <t>Общо за периода от 2011 до2013 г.</t>
  </si>
  <si>
    <t>Общо за периода от 2011 до 2014 г.</t>
  </si>
  <si>
    <t>Общо за периода от 2011 до 2012 г.</t>
  </si>
  <si>
    <t>Общо за периода от 2011 до 2015 г.</t>
  </si>
  <si>
    <t>Фирми Враца</t>
  </si>
  <si>
    <t>Писмо Вх. № И-11/26.01.2016 г. на общ. Враца прехвърлени средства от чл. 60 в чл. 64</t>
  </si>
  <si>
    <t>I трим. 2016 г.</t>
  </si>
  <si>
    <t>Общо за периода от 2011 г. до I трим. 2016 г.</t>
  </si>
  <si>
    <t>II трим. 2016 г.</t>
  </si>
  <si>
    <t>Общо за периода от 2011 г. до II трим. 2016 г.</t>
  </si>
  <si>
    <t>III трим. 2016 г.</t>
  </si>
  <si>
    <t>IV трим. 2016 г.</t>
  </si>
  <si>
    <t>Общо за периода от 2011 г. до III трим. 2016 г.</t>
  </si>
  <si>
    <t>Общо за периода от 2011 г. до IV трим. 2016 г.</t>
  </si>
  <si>
    <t>Да изчистим България-Враца</t>
  </si>
  <si>
    <t>Общо за периода от 2011 до 2013 г.</t>
  </si>
  <si>
    <t>Да изчистим България-Мездра</t>
  </si>
  <si>
    <t>РДНО -Оряхово</t>
  </si>
  <si>
    <t>Община Оряхово</t>
  </si>
  <si>
    <t>Община Мизия</t>
  </si>
  <si>
    <t>Да изчистим България-Оряхово</t>
  </si>
  <si>
    <t>Община Козлодуй</t>
  </si>
  <si>
    <t>Да изчистим България-Мизия</t>
  </si>
  <si>
    <t>Да изчистим България-Козлодуй</t>
  </si>
  <si>
    <t>Община Бяла Слатина</t>
  </si>
  <si>
    <t>Община Кнежа</t>
  </si>
  <si>
    <t>Община Борован</t>
  </si>
  <si>
    <t>Община Хайредин</t>
  </si>
  <si>
    <t>Общинско депо - Роман</t>
  </si>
  <si>
    <t>Община Роман</t>
  </si>
  <si>
    <t>Да изчистим България-Хайредин</t>
  </si>
  <si>
    <t>Да изчистим България-Кнежа</t>
  </si>
  <si>
    <t xml:space="preserve">168 103,94 лв.  
</t>
  </si>
  <si>
    <t>Забележки</t>
  </si>
  <si>
    <t>I трим. 2017 г.</t>
  </si>
  <si>
    <t>Общо за периода от 2011 г. до I трим. 2017 г.</t>
  </si>
  <si>
    <t>Oбщина Мездра</t>
  </si>
  <si>
    <t>Oбщина Враца</t>
  </si>
  <si>
    <t>II трим. 2017 г.</t>
  </si>
  <si>
    <t xml:space="preserve">Забележка: С писмо с Вх. № В-2755 от 06.10.2016 г. oт. 07.07.2016 г. БО на Община Роман се депонират на РДНО - Луковит. Отчисленията по чл. 60 и 64 от ЗУО се заплащат в РИОСВ - Плевен.                  
</t>
  </si>
  <si>
    <t>Общо за периода от 2011 г. до II трим. 2017 г.</t>
  </si>
  <si>
    <t>III трим. 2017 г.</t>
  </si>
  <si>
    <t>Общо за периода от 2011 г. до III трим. 2017 г.</t>
  </si>
  <si>
    <t>Фирми Оряхово</t>
  </si>
  <si>
    <t>Общо за периода от 2011 г. до III трим. 2017г.</t>
  </si>
  <si>
    <t>Да изчистим Бълагрия-Борован</t>
  </si>
  <si>
    <t>Общо за периода от 2011 г. до IV трим. 2017 г.</t>
  </si>
  <si>
    <t>IV трим. 2017 г.</t>
  </si>
  <si>
    <t>I трим. 2018 г.</t>
  </si>
  <si>
    <t>Общо за периода от 2011 г. до I трим. 2018 г.</t>
  </si>
  <si>
    <t>II трим. 2018 г.</t>
  </si>
  <si>
    <t>Общо за периода от 2011 г. до II трим. 2018 г.</t>
  </si>
  <si>
    <t>писмо с вх. № В-1295/04.09.2017 г. върнати 97 800,00 от освободените през 2-ро трим.</t>
  </si>
  <si>
    <t>III трим. 2018 г.</t>
  </si>
  <si>
    <t>Общо за периода от 2011 г. до III трим. 2018 г.</t>
  </si>
  <si>
    <t>IV трим. 2018 г.</t>
  </si>
  <si>
    <t>Общо за периода от 2011 г. до IV трим. 2018 г.</t>
  </si>
  <si>
    <t xml:space="preserve"> IV трим. 2018 г.</t>
  </si>
  <si>
    <t>Общо за периода от 2011 г. до I трим. 2019 г.</t>
  </si>
  <si>
    <t>I трим. 2019 г.</t>
  </si>
  <si>
    <t xml:space="preserve"> I трим. 2019 г.</t>
  </si>
  <si>
    <t>II трим. 2019 г.</t>
  </si>
  <si>
    <t>II  трим. 2019 г.</t>
  </si>
  <si>
    <t>Общо за периода от 2011 г. до II трим. 2019 г.</t>
  </si>
  <si>
    <t xml:space="preserve">Корекция за м.март </t>
  </si>
  <si>
    <t>Възстановени от ОПОС 2014-2020</t>
  </si>
  <si>
    <t>III трим. 2019 г.</t>
  </si>
  <si>
    <t>Общо за периода от 2011 г. до III трим. 2019 г.</t>
  </si>
  <si>
    <t> 8,380</t>
  </si>
  <si>
    <t> 3,580 </t>
  </si>
  <si>
    <t>IV трим. 2019 г.</t>
  </si>
  <si>
    <t>Общо за периода от 2011 г. до IV трим. 2019 г.</t>
  </si>
  <si>
    <t xml:space="preserve"> IV трим. 2019 г.</t>
  </si>
  <si>
    <t>I трим. 2020 г.</t>
  </si>
  <si>
    <t>Общо за периода от 2011 г. до I трим. 2020 г.</t>
  </si>
  <si>
    <t xml:space="preserve"> I трим. 2020 г.</t>
  </si>
  <si>
    <t>* oт 01.01-22.03.20 г. са депонирани 132,360 т. отпадък с р-р на отчисленията по чл. 64 от ЗУО - 95,00 лв.; от 23.03 до 31.03.20 г. са депонирани 20,560 т. отпадък с р-р на отчисленията по чл. 64 от ЗУО - 69,00 лв.</t>
  </si>
  <si>
    <t>* oт 01.01-22.03.20 г. са депонирани 173,880 т. отпадък с р-р на отчисленията по чл. 64 от ЗУО - 95,00 лв.; от 23.03 до 31.03.20 г. са депонирани 24,940 т. отпадък с р-р на отчисленията по чл. 64 от ЗУО - 69,00 лв.</t>
  </si>
  <si>
    <t>* oт 01.01-22.03.20 г. са депонирани 695,800 т. отпадък с р-р на отчисленията по чл. 64 от ЗУО - 95,00 лв.; от 23.03 до 31.03.20 г. са депонирани 100,240 т. отпадък с р-р на отчисленията по чл. 64 от ЗУО - 69,00 лв.</t>
  </si>
  <si>
    <t>* oт 01.01-22.03.20 г. са депонирани 888,280 т. отпадък с р-р на отчисленията по чл. 64 от ЗУО - 95,00 лв.; от 23.03 до 31.03.20 г. са депонирани 124,360 т. отпадък с р-р на отчисленията по чл. 64 от ЗУО - 69,00 лв.</t>
  </si>
  <si>
    <t>* oт 01.01-22.03.20 г. са депонирани 1381,060 т. отпадък с р-р на отчисленията по чл. 64 от ЗУО - 95,00 лв.; от 23.03 до 31.03.20 г. са депонирани 208,260 т. отпадък с р-р на отчисленията по чл. 64 от ЗУО - 69,00 лв.</t>
  </si>
  <si>
    <t>* oт 01.01-22.03.20 г. са депонирани 410,380 т. отпадък с р-р на отчисленията по чл. 64 от ЗУО - 95,00 лв.; от 23.03 до 31.03.20 г. са депонирани 62,320 т. отпадък с р-р на отчисленията по чл. 64 от ЗУО - 69,00 лв.</t>
  </si>
  <si>
    <t>* oт 01.01-22.03.20 г. са депонирани 308,700 т. отпадък с р-р на отчисленията по чл. 64 от ЗУО - 95,00 лв.; от 23.03 до 31.03.20 г. са депонирани 47,100 т. отпадък с р-р на отчисленията по чл. 64 от ЗУО - 69,00 лв.</t>
  </si>
  <si>
    <t>* oт 01.01-22.03.20 г. са депонирани 726,045 т. отпадък с р-р на отчисленията по чл. 64 от ЗУО - 95,00 лв.; от 23.03 до 31.03.20 г. са депонирани 82,811 т. отпадък с р-р на отчисленията по чл. 64 от ЗУО - 69,00 лв.</t>
  </si>
  <si>
    <t>* oт 01.01-22.03.20 г. са депонирани 2732,375 т. отпадък с р-р на отчисленията по чл. 64 от ЗУО - 95,00 лв.; от 23.03 до 31.03.20 г. са депонирани 328,129 т. отпадък с р-р на отчисленията по чл. 64 от ЗУО - 69,00 лв.</t>
  </si>
  <si>
    <t>* oт 01.01-22.03.20 г. са депонирани 218,840 т. отпадък с р-р на отчисленията по чл. 64 от ЗУО - 95,00 лв.; от 23.03 до 31.03.20 г. са депонирани 7,780 т. отпадък с р-р на отчисленията по чл. 64 от ЗУО - 69,00 лв.</t>
  </si>
  <si>
    <t>12 489,74  лв.                   по чл. 60</t>
  </si>
  <si>
    <t>379 972,24 лв. по чл. 64;12 489,74 лв по чл. 60</t>
  </si>
  <si>
    <t>212 952,16 лв. по чл. 64; 8458,03 лв. по чл. 60</t>
  </si>
  <si>
    <t>753 751,83 лв. по чл. 64; 35502,08 лв. по чл. 60</t>
  </si>
  <si>
    <t>35 502,08 лв. по чл.60</t>
  </si>
  <si>
    <t>12 312,64 лв. по чл. 60</t>
  </si>
  <si>
    <t>517 956,09 лв. по  чл. 64; 12 312,64 лв. по чл. 60</t>
  </si>
  <si>
    <t>16802,31 лв. по чл. 60</t>
  </si>
  <si>
    <t>550 795,21 лв. по чл. 64; 16802,31 по чл. 60</t>
  </si>
  <si>
    <t>1426,76 лв. по чл. 60</t>
  </si>
  <si>
    <t>II трим. 2020 г.</t>
  </si>
  <si>
    <t>Общо за периода от 2011 г. до II трим. 2020 г.</t>
  </si>
  <si>
    <t>14 999,00 лв. по чл. 64                           24 486,17 лв. по чл. 60</t>
  </si>
  <si>
    <t>16 582,18 лв. по чл. 60</t>
  </si>
  <si>
    <t>69 602,70 лв. по чл. 60</t>
  </si>
  <si>
    <t>24 139,23 лв. по чл. 60</t>
  </si>
  <si>
    <t>32 941,35 лв. по  чл. 60</t>
  </si>
  <si>
    <t>3 422,53 лв. по чл. 60</t>
  </si>
  <si>
    <t>123 104,21 по чл. 64; 3 422,53 по чл. 60</t>
  </si>
  <si>
    <t>6 709,94 лв. по чл. 60</t>
  </si>
  <si>
    <t>2 797,21 лв. по чл. 60</t>
  </si>
  <si>
    <t>Възстановени от ОПОС</t>
  </si>
  <si>
    <t>8 458,03 лв. по чл. 60</t>
  </si>
  <si>
    <t>394 971,24  лв. по чл. 64; 36 975,91 лв. по чл 60</t>
  </si>
  <si>
    <t>30 226,14 лв</t>
  </si>
  <si>
    <t>71 332,83 лв. по чл. 64; 1 426,76 по чл. 60</t>
  </si>
  <si>
    <t>71 332,83 лв. по чл. 64; 4 223,97 лв. по чл. 60</t>
  </si>
  <si>
    <t>123 104,21 лв. по чл. 64; 10 132,47 лв. по чл. 60</t>
  </si>
  <si>
    <t>550 795,21 лв. по чл. 64; 49 743,66 лв. по чл. 60</t>
  </si>
  <si>
    <t>25 040,21 лв. по чл. 60; 212 952,16 лв. по чл. 64</t>
  </si>
  <si>
    <t>III трим. 2020 г.</t>
  </si>
  <si>
    <t>Общо за периода от 2011 г. до III трим. 2020 г.</t>
  </si>
  <si>
    <t>105 104,78 лв. по чл. 60; 753 751,83 лв. по чл. 64;</t>
  </si>
  <si>
    <t>105 104,78 лв. по чл. 60; 901 279,83 лв. по чл. 64;</t>
  </si>
  <si>
    <t>86 558,90 лв. по чл. 64; 4 223,97 лв. по чл. 60</t>
  </si>
  <si>
    <t>IV трим. 2020 г.</t>
  </si>
  <si>
    <t>Общо за периода от 2011 г. до IV трим. 2020 г.</t>
  </si>
  <si>
    <t>23 851,64 лв. по чл. 60</t>
  </si>
  <si>
    <t>394 971,24 лв. по чл. 64; 60 827,55 лв. по чл. 60</t>
  </si>
  <si>
    <t>16 171,75 лв. по чл. 60</t>
  </si>
  <si>
    <t>41 211,96 лв. по чл. 60; 212 952,16 лв. по чл. 64</t>
  </si>
  <si>
    <t>36 451,87 лв. по чл. 60; 558 899,37 лв. по  чл. 64</t>
  </si>
  <si>
    <t>36 451,87 лв. по чл. 60; 517 956,09 лв. по  чл. 64</t>
  </si>
  <si>
    <t>23 541,77 лв. по чл. 60</t>
  </si>
  <si>
    <t>59 993,64 лв. по чл. 60; 558 899,37 лв. по  чл. 64</t>
  </si>
  <si>
    <t>32 126,01 лв. по чл. 60</t>
  </si>
  <si>
    <t>550 795,21 лв. по чл. 64; 81 869,67 лв. по чл. 60</t>
  </si>
  <si>
    <t>7 800,00 лв. по чл. 64; 6 543,87 лв. по чл. 60</t>
  </si>
  <si>
    <t>2 727,97 лв. по чл. 60</t>
  </si>
  <si>
    <t>147 528,00 лв. по чл. 64</t>
  </si>
  <si>
    <t>40 943,28 лв. по чл. 64</t>
  </si>
  <si>
    <t>15 226,07 лв. по чл. 64</t>
  </si>
  <si>
    <t>67 879,97 лв. по чл. 60</t>
  </si>
  <si>
    <t>172 984,75 лв. по чл. 60; 901 279,83 лв. по чл. 64;</t>
  </si>
  <si>
    <t>130 904,21 лв. по чл. 64; 16 676,34 лв. по чл. 60</t>
  </si>
  <si>
    <t>86 558,90 лв. по чл. 64; 6 951,94 лв. по чл. 60</t>
  </si>
  <si>
    <t>I трим. 2021 г.</t>
  </si>
  <si>
    <t>II трим. 2021 г.</t>
  </si>
  <si>
    <t>Общо за периода от 2011 г. до I трим. 2021 г.</t>
  </si>
  <si>
    <t>Общо за периода от 2011 г. до II трим. 2021 г.</t>
  </si>
  <si>
    <t xml:space="preserve"> I трим. 2021 г.</t>
  </si>
  <si>
    <t>Oбщина Враца + фирми</t>
  </si>
  <si>
    <t>17 988,85 лв. по чл. 60; 427 013,93 лв. по чл. 64</t>
  </si>
  <si>
    <t>17 988,85 лв. по чл. 60; 1648916,95 лв. по чл. 64</t>
  </si>
  <si>
    <t>Община Оряхово +фирми</t>
  </si>
  <si>
    <t>6 275,30 лв. по чл. 60; 212 413,41 лв. по чл. 64</t>
  </si>
  <si>
    <t>67 102,85 лв. по чл. 60; 607 384,65 лв. по чл. 64</t>
  </si>
  <si>
    <t>5 778,98 л.в по чл. 60; 73 436,04 лв. по чл. 64</t>
  </si>
  <si>
    <t>46 990,94 лв. по чл. 60; 286 388,20 лв. по чл. 64</t>
  </si>
  <si>
    <t>24 547,15 лв. по чл. 60; 756 400,07 лв. по чл. 64</t>
  </si>
  <si>
    <t>197 531,90 лв. по чл. 60; 1 657 679,90 лв. по чл. 64</t>
  </si>
  <si>
    <t>16 081,91 лв. по чл. 60; 474 161,93 лв. по чл. 64</t>
  </si>
  <si>
    <t>76 075,55 лв. по чл. 60; 1 033 061,30 лв. по чл. 64</t>
  </si>
  <si>
    <t>13 088,88 лв. по чл. 60; 509 823,99 лв. по чл. 64</t>
  </si>
  <si>
    <t>94 958,55 лв. по чл. 60; 1 060 619,20 лв. по чл. 64</t>
  </si>
  <si>
    <t>3394,50 лв. по чл. 60; 43 127,12 лв. по чл. 64</t>
  </si>
  <si>
    <t>20 070,84 лв. по чл. 60; 174 031,33 лв. по чл. 64</t>
  </si>
  <si>
    <t>2 728,43 лв. по чл. 60; 34 512,06 лв. по чл. 64</t>
  </si>
  <si>
    <t>9 680,37 лв. по чл. 60; 121 070,96 лв. по  чл. 64</t>
  </si>
  <si>
    <t>Общо за периода от 2011 г. до  трим. 2021 г.</t>
  </si>
  <si>
    <t>76 473,32 лв. по чл. 64</t>
  </si>
  <si>
    <t>76 075,55 лв. по чл. 60; 1 109 534,62 лв. по чл. 64</t>
  </si>
  <si>
    <t xml:space="preserve"> 66 658,66 лв. по чл. 60; 1 433 164,89 лв. по чл. 64</t>
  </si>
  <si>
    <t>66 658,66 лв. по чл. 60; 5 020 476,03 лв. по чл. 64</t>
  </si>
  <si>
    <t>Възстановени по ОПОС</t>
  </si>
  <si>
    <t>17 988,85 лв. по чл. 60; 1 648 916,95 лв. по чл. 64</t>
  </si>
  <si>
    <t>ІII трим. 2021 г.</t>
  </si>
  <si>
    <t>Общо за периода от 2011 г. до ІII трим. 2021 г.</t>
  </si>
  <si>
    <t>67 102,85 лв. по чл. 60; 631 884,65 лв. по чл. 64</t>
  </si>
  <si>
    <t>24 500,00 лв. по чл. 64</t>
  </si>
  <si>
    <t>23 000,00 лв. по чл. 64</t>
  </si>
  <si>
    <t>20 070,84 лв. по чл. 60; 197 031,33 лв. по чл. 64</t>
  </si>
  <si>
    <t>ІV трим. 2021 г.</t>
  </si>
  <si>
    <t>Общо за периода от 2011 г. до ІV трим. 2021 г.</t>
  </si>
  <si>
    <t>108 232,40 лв. по чл. 64</t>
  </si>
  <si>
    <t>46 990,94 лв. по чл. 60; 394 620,60 лв. по чл. 64</t>
  </si>
  <si>
    <t>60 356,00 лв. по чл.64</t>
  </si>
  <si>
    <t>94 958,55 лв. по чл. 60; 1 120 975,20 лв. по чл. 64</t>
  </si>
  <si>
    <t xml:space="preserve">Сумите записание в колони с  I и J не са внесени, поради изменение в ДОПК. </t>
  </si>
  <si>
    <t>І трим. 2022 г.</t>
  </si>
  <si>
    <t>Общо за периода от 2011 г. до І трим. 2022 г.</t>
  </si>
  <si>
    <t>Kоличества депонирани отпадъци на депата в Р. България и заплатени отчисления за депониране, съгласно чл. 60 и чл. 64 от ЗУО по общини за периода от 01.01.2011 г. до 31.03.2022 г.</t>
  </si>
  <si>
    <t>5,60 лв</t>
  </si>
  <si>
    <t>46 990,94 лв. по чл. 60; 412 620,60 лв. по чл. 64</t>
  </si>
  <si>
    <t>197 531,90 лв. по чл. 60; 1 896 989,90 лв. по чл. 64</t>
  </si>
  <si>
    <t>28 562,63 лв. по чл. 60; 82 754,00 лв. по чл. 64</t>
  </si>
  <si>
    <t>Общо за периода от 2011 г. до I трим. 2022 г.</t>
  </si>
  <si>
    <t>ІІ трим. 2022 г.</t>
  </si>
  <si>
    <t>Общо за периода от 2011 г. до ІІ трим. 2022 г.</t>
  </si>
  <si>
    <t>възст. от ОПОС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</si>
</sst>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.&quot;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2" fillId="3" borderId="8" xfId="0" applyFont="1" applyFill="1" applyBorder="1"/>
    <xf numFmtId="0" fontId="1" fillId="3" borderId="8" xfId="0" applyFont="1" applyFill="1" applyBorder="1"/>
    <xf numFmtId="0" fontId="1" fillId="0" borderId="7" xfId="0" applyFont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5" fillId="6" borderId="16" xfId="0" applyFont="1" applyFill="1" applyBorder="1"/>
    <xf numFmtId="0" fontId="2" fillId="6" borderId="17" xfId="0" applyFont="1" applyFill="1" applyBorder="1" applyAlignment="1">
      <alignment vertical="center" wrapText="1"/>
    </xf>
    <xf numFmtId="0" fontId="5" fillId="0" borderId="14" xfId="0" applyFont="1" applyBorder="1"/>
    <xf numFmtId="0" fontId="5" fillId="0" borderId="13" xfId="0" applyFont="1" applyBorder="1"/>
    <xf numFmtId="0" fontId="5" fillId="5" borderId="14" xfId="0" applyFont="1" applyFill="1" applyBorder="1"/>
    <xf numFmtId="0" fontId="5" fillId="5" borderId="13" xfId="0" applyFont="1" applyFill="1" applyBorder="1"/>
    <xf numFmtId="0" fontId="5" fillId="6" borderId="14" xfId="0" applyFont="1" applyFill="1" applyBorder="1"/>
    <xf numFmtId="0" fontId="5" fillId="6" borderId="13" xfId="0" applyFont="1" applyFill="1" applyBorder="1"/>
    <xf numFmtId="0" fontId="1" fillId="0" borderId="13" xfId="0" applyFont="1" applyBorder="1" applyAlignment="1">
      <alignment horizontal="left" vertical="center" wrapText="1"/>
    </xf>
    <xf numFmtId="0" fontId="5" fillId="7" borderId="14" xfId="0" applyFont="1" applyFill="1" applyBorder="1"/>
    <xf numFmtId="0" fontId="5" fillId="7" borderId="13" xfId="0" applyFont="1" applyFill="1" applyBorder="1"/>
    <xf numFmtId="0" fontId="2" fillId="7" borderId="19" xfId="0" applyFont="1" applyFill="1" applyBorder="1" applyAlignment="1">
      <alignment vertical="center" wrapText="1"/>
    </xf>
    <xf numFmtId="0" fontId="5" fillId="5" borderId="18" xfId="0" applyFont="1" applyFill="1" applyBorder="1"/>
    <xf numFmtId="0" fontId="6" fillId="7" borderId="13" xfId="0" applyFont="1" applyFill="1" applyBorder="1"/>
    <xf numFmtId="165" fontId="7" fillId="5" borderId="13" xfId="0" applyNumberFormat="1" applyFont="1" applyFill="1" applyBorder="1" applyAlignment="1">
      <alignment horizontal="center" vertical="center"/>
    </xf>
    <xf numFmtId="164" fontId="7" fillId="5" borderId="13" xfId="0" applyNumberFormat="1" applyFont="1" applyFill="1" applyBorder="1" applyAlignment="1">
      <alignment horizontal="center" vertical="center"/>
    </xf>
    <xf numFmtId="164" fontId="7" fillId="6" borderId="13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 vertical="center"/>
    </xf>
    <xf numFmtId="164" fontId="9" fillId="7" borderId="13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7" borderId="13" xfId="0" applyNumberFormat="1" applyFont="1" applyFill="1" applyBorder="1"/>
    <xf numFmtId="0" fontId="7" fillId="7" borderId="13" xfId="0" applyFont="1" applyFill="1" applyBorder="1"/>
    <xf numFmtId="0" fontId="10" fillId="7" borderId="13" xfId="0" applyFont="1" applyFill="1" applyBorder="1"/>
    <xf numFmtId="0" fontId="7" fillId="0" borderId="13" xfId="0" applyFont="1" applyBorder="1"/>
    <xf numFmtId="0" fontId="7" fillId="0" borderId="0" xfId="0" applyFont="1"/>
    <xf numFmtId="0" fontId="7" fillId="6" borderId="13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164" fontId="7" fillId="6" borderId="21" xfId="0" applyNumberFormat="1" applyFont="1" applyFill="1" applyBorder="1"/>
    <xf numFmtId="0" fontId="12" fillId="6" borderId="15" xfId="0" applyFont="1" applyFill="1" applyBorder="1"/>
    <xf numFmtId="0" fontId="7" fillId="0" borderId="13" xfId="0" applyFont="1" applyBorder="1" applyAlignment="1">
      <alignment horizontal="center" vertical="center"/>
    </xf>
    <xf numFmtId="164" fontId="7" fillId="0" borderId="22" xfId="0" applyNumberFormat="1" applyFont="1" applyBorder="1"/>
    <xf numFmtId="0" fontId="12" fillId="6" borderId="13" xfId="0" applyFont="1" applyFill="1" applyBorder="1"/>
    <xf numFmtId="0" fontId="7" fillId="5" borderId="13" xfId="0" applyFont="1" applyFill="1" applyBorder="1" applyAlignment="1">
      <alignment horizontal="center" vertical="center"/>
    </xf>
    <xf numFmtId="164" fontId="7" fillId="5" borderId="22" xfId="0" applyNumberFormat="1" applyFont="1" applyFill="1" applyBorder="1"/>
    <xf numFmtId="0" fontId="12" fillId="5" borderId="13" xfId="0" applyFont="1" applyFill="1" applyBorder="1"/>
    <xf numFmtId="0" fontId="12" fillId="0" borderId="13" xfId="0" applyFont="1" applyBorder="1"/>
    <xf numFmtId="164" fontId="7" fillId="6" borderId="22" xfId="0" applyNumberFormat="1" applyFont="1" applyFill="1" applyBorder="1"/>
    <xf numFmtId="165" fontId="7" fillId="7" borderId="13" xfId="0" applyNumberFormat="1" applyFont="1" applyFill="1" applyBorder="1"/>
    <xf numFmtId="164" fontId="7" fillId="7" borderId="22" xfId="0" applyNumberFormat="1" applyFont="1" applyFill="1" applyBorder="1"/>
    <xf numFmtId="0" fontId="12" fillId="7" borderId="13" xfId="0" applyFont="1" applyFill="1" applyBorder="1"/>
    <xf numFmtId="164" fontId="7" fillId="6" borderId="22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5" borderId="22" xfId="0" applyNumberFormat="1" applyFont="1" applyFill="1" applyBorder="1" applyAlignment="1">
      <alignment horizontal="center" vertical="center"/>
    </xf>
    <xf numFmtId="165" fontId="9" fillId="7" borderId="13" xfId="0" applyNumberFormat="1" applyFont="1" applyFill="1" applyBorder="1" applyAlignment="1">
      <alignment vertical="center"/>
    </xf>
    <xf numFmtId="164" fontId="7" fillId="7" borderId="13" xfId="0" applyNumberFormat="1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164" fontId="7" fillId="6" borderId="22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4" fontId="7" fillId="5" borderId="22" xfId="0" applyNumberFormat="1" applyFont="1" applyFill="1" applyBorder="1" applyAlignment="1">
      <alignment vertical="center"/>
    </xf>
    <xf numFmtId="0" fontId="7" fillId="5" borderId="19" xfId="0" applyFont="1" applyFill="1" applyBorder="1" applyAlignment="1">
      <alignment vertical="center"/>
    </xf>
    <xf numFmtId="164" fontId="7" fillId="5" borderId="23" xfId="0" applyNumberFormat="1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7" borderId="22" xfId="0" applyFont="1" applyFill="1" applyBorder="1"/>
    <xf numFmtId="0" fontId="7" fillId="6" borderId="13" xfId="0" applyFont="1" applyFill="1" applyBorder="1"/>
    <xf numFmtId="0" fontId="7" fillId="6" borderId="22" xfId="0" applyFont="1" applyFill="1" applyBorder="1"/>
    <xf numFmtId="0" fontId="7" fillId="0" borderId="22" xfId="0" applyFont="1" applyBorder="1"/>
    <xf numFmtId="0" fontId="7" fillId="5" borderId="13" xfId="0" applyFont="1" applyFill="1" applyBorder="1"/>
    <xf numFmtId="0" fontId="7" fillId="5" borderId="22" xfId="0" applyFont="1" applyFill="1" applyBorder="1"/>
    <xf numFmtId="165" fontId="10" fillId="7" borderId="13" xfId="0" applyNumberFormat="1" applyFont="1" applyFill="1" applyBorder="1"/>
    <xf numFmtId="164" fontId="10" fillId="7" borderId="13" xfId="0" applyNumberFormat="1" applyFont="1" applyFill="1" applyBorder="1"/>
    <xf numFmtId="0" fontId="10" fillId="7" borderId="22" xfId="0" applyFont="1" applyFill="1" applyBorder="1"/>
    <xf numFmtId="164" fontId="13" fillId="6" borderId="15" xfId="0" applyNumberFormat="1" applyFont="1" applyFill="1" applyBorder="1" applyAlignment="1">
      <alignment horizontal="center" vertical="center"/>
    </xf>
    <xf numFmtId="164" fontId="14" fillId="6" borderId="17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 wrapText="1"/>
    </xf>
    <xf numFmtId="165" fontId="14" fillId="5" borderId="13" xfId="0" applyNumberFormat="1" applyFont="1" applyFill="1" applyBorder="1" applyAlignment="1">
      <alignment horizontal="center" vertical="center" wrapText="1"/>
    </xf>
    <xf numFmtId="164" fontId="13" fillId="5" borderId="13" xfId="0" applyNumberFormat="1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 wrapText="1"/>
    </xf>
    <xf numFmtId="165" fontId="13" fillId="5" borderId="13" xfId="0" applyNumberFormat="1" applyFont="1" applyFill="1" applyBorder="1" applyAlignment="1">
      <alignment horizontal="center" vertical="center"/>
    </xf>
    <xf numFmtId="165" fontId="14" fillId="6" borderId="13" xfId="0" applyNumberFormat="1" applyFont="1" applyFill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5" fontId="13" fillId="6" borderId="13" xfId="0" applyNumberFormat="1" applyFont="1" applyFill="1" applyBorder="1" applyAlignment="1">
      <alignment horizontal="center" vertical="center"/>
    </xf>
    <xf numFmtId="164" fontId="13" fillId="6" borderId="13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8" fillId="5" borderId="13" xfId="0" applyFont="1" applyFill="1" applyBorder="1" applyAlignment="1">
      <alignment horizontal="left" vertical="center" wrapText="1"/>
    </xf>
    <xf numFmtId="17" fontId="14" fillId="0" borderId="13" xfId="0" applyNumberFormat="1" applyFont="1" applyBorder="1" applyAlignment="1">
      <alignment horizontal="left" vertical="center" wrapText="1"/>
    </xf>
    <xf numFmtId="0" fontId="14" fillId="6" borderId="15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8" fillId="6" borderId="13" xfId="0" applyFont="1" applyFill="1" applyBorder="1" applyAlignment="1">
      <alignment horizontal="left" vertical="center" wrapText="1"/>
    </xf>
    <xf numFmtId="164" fontId="15" fillId="5" borderId="13" xfId="0" applyNumberFormat="1" applyFont="1" applyFill="1" applyBorder="1" applyAlignment="1">
      <alignment horizontal="center" vertical="center"/>
    </xf>
    <xf numFmtId="164" fontId="15" fillId="6" borderId="13" xfId="0" applyNumberFormat="1" applyFont="1" applyFill="1" applyBorder="1" applyAlignment="1">
      <alignment horizontal="center" vertical="center"/>
    </xf>
    <xf numFmtId="165" fontId="13" fillId="7" borderId="13" xfId="0" applyNumberFormat="1" applyFont="1" applyFill="1" applyBorder="1"/>
    <xf numFmtId="0" fontId="14" fillId="7" borderId="15" xfId="0" applyFont="1" applyFill="1" applyBorder="1" applyAlignment="1">
      <alignment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vertical="center" wrapText="1"/>
    </xf>
    <xf numFmtId="165" fontId="7" fillId="5" borderId="13" xfId="0" applyNumberFormat="1" applyFont="1" applyFill="1" applyBorder="1"/>
    <xf numFmtId="164" fontId="7" fillId="5" borderId="13" xfId="0" applyNumberFormat="1" applyFont="1" applyFill="1" applyBorder="1"/>
    <xf numFmtId="0" fontId="18" fillId="5" borderId="13" xfId="0" applyFont="1" applyFill="1" applyBorder="1" applyAlignment="1">
      <alignment horizontal="left" vertical="top" wrapText="1"/>
    </xf>
    <xf numFmtId="164" fontId="13" fillId="5" borderId="13" xfId="0" applyNumberFormat="1" applyFont="1" applyFill="1" applyBorder="1" applyAlignment="1">
      <alignment vertical="center"/>
    </xf>
    <xf numFmtId="0" fontId="14" fillId="6" borderId="13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8" fillId="6" borderId="13" xfId="0" applyFont="1" applyFill="1" applyBorder="1" applyAlignment="1">
      <alignment horizontal="left" vertical="center"/>
    </xf>
    <xf numFmtId="164" fontId="14" fillId="6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/>
    <xf numFmtId="0" fontId="18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5" borderId="13" xfId="0" applyFont="1" applyFill="1" applyBorder="1"/>
    <xf numFmtId="0" fontId="14" fillId="5" borderId="13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 wrapText="1"/>
    </xf>
    <xf numFmtId="165" fontId="15" fillId="5" borderId="13" xfId="0" applyNumberFormat="1" applyFont="1" applyFill="1" applyBorder="1" applyAlignment="1">
      <alignment horizontal="center" vertical="center"/>
    </xf>
    <xf numFmtId="165" fontId="15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13" fillId="6" borderId="13" xfId="0" applyFont="1" applyFill="1" applyBorder="1"/>
    <xf numFmtId="165" fontId="15" fillId="6" borderId="13" xfId="0" applyNumberFormat="1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left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16" fillId="6" borderId="13" xfId="0" applyFont="1" applyFill="1" applyBorder="1" applyAlignment="1">
      <alignment horizontal="left" vertical="center" wrapText="1"/>
    </xf>
    <xf numFmtId="164" fontId="13" fillId="6" borderId="13" xfId="0" applyNumberFormat="1" applyFont="1" applyFill="1" applyBorder="1" applyAlignment="1">
      <alignment vertical="center"/>
    </xf>
    <xf numFmtId="0" fontId="13" fillId="6" borderId="13" xfId="0" applyFont="1" applyFill="1" applyBorder="1" applyAlignment="1">
      <alignment vertical="center"/>
    </xf>
    <xf numFmtId="0" fontId="14" fillId="0" borderId="19" xfId="0" applyFont="1" applyBorder="1" applyAlignment="1">
      <alignment horizontal="left" vertical="center" wrapText="1"/>
    </xf>
    <xf numFmtId="165" fontId="13" fillId="0" borderId="13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6" borderId="13" xfId="0" applyNumberFormat="1" applyFont="1" applyFill="1" applyBorder="1" applyAlignment="1">
      <alignment horizontal="center" vertical="center"/>
    </xf>
    <xf numFmtId="0" fontId="13" fillId="5" borderId="19" xfId="0" applyFont="1" applyFill="1" applyBorder="1"/>
    <xf numFmtId="165" fontId="13" fillId="5" borderId="19" xfId="0" applyNumberFormat="1" applyFont="1" applyFill="1" applyBorder="1" applyAlignment="1">
      <alignment horizontal="center" vertical="center"/>
    </xf>
    <xf numFmtId="164" fontId="13" fillId="5" borderId="19" xfId="0" applyNumberFormat="1" applyFont="1" applyFill="1" applyBorder="1" applyAlignment="1">
      <alignment vertical="center"/>
    </xf>
    <xf numFmtId="0" fontId="13" fillId="5" borderId="19" xfId="0" applyFont="1" applyFill="1" applyBorder="1" applyAlignment="1">
      <alignment vertical="center"/>
    </xf>
    <xf numFmtId="165" fontId="13" fillId="6" borderId="19" xfId="0" applyNumberFormat="1" applyFont="1" applyFill="1" applyBorder="1" applyAlignment="1">
      <alignment horizontal="center" vertical="center"/>
    </xf>
    <xf numFmtId="164" fontId="13" fillId="6" borderId="19" xfId="0" applyNumberFormat="1" applyFont="1" applyFill="1" applyBorder="1" applyAlignment="1">
      <alignment horizontal="center" vertical="center"/>
    </xf>
    <xf numFmtId="17" fontId="14" fillId="0" borderId="19" xfId="0" applyNumberFormat="1" applyFont="1" applyBorder="1" applyAlignment="1">
      <alignment horizontal="left" vertical="center" wrapText="1"/>
    </xf>
    <xf numFmtId="0" fontId="5" fillId="0" borderId="18" xfId="0" applyFont="1" applyBorder="1"/>
    <xf numFmtId="0" fontId="13" fillId="0" borderId="19" xfId="0" applyFont="1" applyBorder="1"/>
    <xf numFmtId="165" fontId="13" fillId="0" borderId="19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vertical="center"/>
    </xf>
    <xf numFmtId="164" fontId="13" fillId="6" borderId="19" xfId="0" applyNumberFormat="1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165" fontId="14" fillId="0" borderId="13" xfId="0" applyNumberFormat="1" applyFont="1" applyBorder="1" applyAlignment="1">
      <alignment horizontal="center" vertical="center"/>
    </xf>
    <xf numFmtId="165" fontId="19" fillId="6" borderId="13" xfId="0" applyNumberFormat="1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left" vertical="center"/>
    </xf>
    <xf numFmtId="0" fontId="18" fillId="0" borderId="13" xfId="0" applyFont="1" applyBorder="1"/>
    <xf numFmtId="165" fontId="1" fillId="6" borderId="7" xfId="0" applyNumberFormat="1" applyFont="1" applyFill="1" applyBorder="1" applyAlignment="1">
      <alignment horizontal="center" vertical="center" wrapText="1" shrinkToFit="1"/>
    </xf>
    <xf numFmtId="165" fontId="14" fillId="6" borderId="13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4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4" fillId="5" borderId="13" xfId="0" applyFont="1" applyFill="1" applyBorder="1" applyAlignment="1">
      <alignment vertical="center" wrapText="1"/>
    </xf>
    <xf numFmtId="0" fontId="15" fillId="5" borderId="19" xfId="0" applyFont="1" applyFill="1" applyBorder="1" applyAlignment="1">
      <alignment horizontal="left" vertical="center" wrapText="1"/>
    </xf>
    <xf numFmtId="164" fontId="13" fillId="5" borderId="15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4" fillId="6" borderId="15" xfId="0" applyFont="1" applyFill="1" applyBorder="1" applyAlignment="1">
      <alignment vertical="center" wrapText="1"/>
    </xf>
    <xf numFmtId="164" fontId="7" fillId="6" borderId="13" xfId="0" applyNumberFormat="1" applyFont="1" applyFill="1" applyBorder="1"/>
    <xf numFmtId="164" fontId="15" fillId="6" borderId="13" xfId="0" applyNumberFormat="1" applyFont="1" applyFill="1" applyBorder="1" applyAlignment="1">
      <alignment vertical="center"/>
    </xf>
    <xf numFmtId="165" fontId="13" fillId="6" borderId="13" xfId="0" applyNumberFormat="1" applyFont="1" applyFill="1" applyBorder="1" applyAlignment="1">
      <alignment horizontal="left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0" fontId="0" fillId="6" borderId="13" xfId="0" applyFill="1" applyBorder="1"/>
    <xf numFmtId="0" fontId="1" fillId="6" borderId="7" xfId="0" applyFont="1" applyFill="1" applyBorder="1" applyAlignment="1">
      <alignment horizontal="center" vertical="center" wrapText="1"/>
    </xf>
    <xf numFmtId="4" fontId="13" fillId="6" borderId="13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>
      <alignment horizontal="center" vertical="center" wrapText="1"/>
    </xf>
    <xf numFmtId="164" fontId="15" fillId="5" borderId="13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vertical="top" wrapText="1"/>
    </xf>
    <xf numFmtId="165" fontId="1" fillId="4" borderId="7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top" wrapText="1"/>
    </xf>
    <xf numFmtId="164" fontId="21" fillId="6" borderId="13" xfId="0" applyNumberFormat="1" applyFont="1" applyFill="1" applyBorder="1" applyAlignment="1">
      <alignment horizontal="center" vertical="center"/>
    </xf>
    <xf numFmtId="0" fontId="0" fillId="6" borderId="26" xfId="0" applyFill="1" applyBorder="1" applyAlignment="1"/>
    <xf numFmtId="0" fontId="0" fillId="6" borderId="0" xfId="0" applyFill="1" applyAlignment="1"/>
    <xf numFmtId="0" fontId="5" fillId="6" borderId="19" xfId="0" applyFont="1" applyFill="1" applyBorder="1"/>
    <xf numFmtId="0" fontId="13" fillId="6" borderId="19" xfId="0" applyFont="1" applyFill="1" applyBorder="1"/>
    <xf numFmtId="0" fontId="13" fillId="6" borderId="19" xfId="0" applyFont="1" applyFill="1" applyBorder="1" applyAlignment="1">
      <alignment horizontal="left" vertical="center" wrapText="1"/>
    </xf>
    <xf numFmtId="0" fontId="7" fillId="6" borderId="19" xfId="0" applyFont="1" applyFill="1" applyBorder="1"/>
    <xf numFmtId="0" fontId="7" fillId="6" borderId="23" xfId="0" applyFont="1" applyFill="1" applyBorder="1"/>
    <xf numFmtId="0" fontId="12" fillId="6" borderId="19" xfId="0" applyFont="1" applyFill="1" applyBorder="1"/>
    <xf numFmtId="0" fontId="5" fillId="5" borderId="15" xfId="0" applyFont="1" applyFill="1" applyBorder="1"/>
    <xf numFmtId="0" fontId="13" fillId="5" borderId="15" xfId="0" applyFont="1" applyFill="1" applyBorder="1"/>
    <xf numFmtId="0" fontId="14" fillId="5" borderId="27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>
      <alignment horizontal="left" vertical="center" wrapText="1"/>
    </xf>
    <xf numFmtId="165" fontId="13" fillId="5" borderId="15" xfId="0" applyNumberFormat="1" applyFont="1" applyFill="1" applyBorder="1" applyAlignment="1">
      <alignment horizontal="center" vertical="center"/>
    </xf>
    <xf numFmtId="0" fontId="7" fillId="5" borderId="15" xfId="0" applyFont="1" applyFill="1" applyBorder="1"/>
    <xf numFmtId="0" fontId="7" fillId="5" borderId="21" xfId="0" applyFont="1" applyFill="1" applyBorder="1"/>
    <xf numFmtId="0" fontId="12" fillId="5" borderId="15" xfId="0" applyFont="1" applyFill="1" applyBorder="1"/>
    <xf numFmtId="165" fontId="19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/>
    <xf numFmtId="164" fontId="13" fillId="5" borderId="22" xfId="0" applyNumberFormat="1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wrapText="1"/>
    </xf>
    <xf numFmtId="165" fontId="13" fillId="5" borderId="23" xfId="0" applyNumberFormat="1" applyFont="1" applyFill="1" applyBorder="1" applyAlignment="1">
      <alignment horizontal="center" vertical="center"/>
    </xf>
    <xf numFmtId="165" fontId="13" fillId="6" borderId="23" xfId="0" applyNumberFormat="1" applyFont="1" applyFill="1" applyBorder="1" applyAlignment="1">
      <alignment horizontal="center" vertical="center"/>
    </xf>
    <xf numFmtId="164" fontId="13" fillId="6" borderId="22" xfId="0" applyNumberFormat="1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left" vertical="top" wrapText="1"/>
    </xf>
    <xf numFmtId="0" fontId="12" fillId="6" borderId="13" xfId="0" applyFont="1" applyFill="1" applyBorder="1" applyAlignment="1">
      <alignment vertical="top" wrapText="1"/>
    </xf>
    <xf numFmtId="0" fontId="22" fillId="6" borderId="19" xfId="0" applyFont="1" applyFill="1" applyBorder="1" applyAlignment="1">
      <alignment vertical="top" wrapText="1"/>
    </xf>
    <xf numFmtId="0" fontId="22" fillId="5" borderId="13" xfId="0" applyFont="1" applyFill="1" applyBorder="1" applyAlignment="1">
      <alignment vertical="top" wrapText="1"/>
    </xf>
    <xf numFmtId="164" fontId="13" fillId="6" borderId="13" xfId="0" applyNumberFormat="1" applyFont="1" applyFill="1" applyBorder="1" applyAlignment="1">
      <alignment horizontal="center" vertical="center" wrapText="1"/>
    </xf>
    <xf numFmtId="164" fontId="13" fillId="5" borderId="13" xfId="0" applyNumberFormat="1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vertical="top" wrapText="1"/>
    </xf>
    <xf numFmtId="0" fontId="15" fillId="5" borderId="13" xfId="0" applyFont="1" applyFill="1" applyBorder="1" applyAlignment="1">
      <alignment horizontal="left" vertical="center" wrapText="1"/>
    </xf>
    <xf numFmtId="164" fontId="15" fillId="6" borderId="13" xfId="0" applyNumberFormat="1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wrapText="1"/>
    </xf>
    <xf numFmtId="164" fontId="23" fillId="6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13" xfId="0" applyFont="1" applyFill="1" applyBorder="1"/>
    <xf numFmtId="165" fontId="13" fillId="0" borderId="13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/>
    <xf numFmtId="0" fontId="12" fillId="0" borderId="13" xfId="0" applyFont="1" applyFill="1" applyBorder="1"/>
    <xf numFmtId="0" fontId="0" fillId="0" borderId="0" xfId="0" applyFill="1"/>
    <xf numFmtId="0" fontId="13" fillId="0" borderId="13" xfId="0" applyFont="1" applyFill="1" applyBorder="1"/>
    <xf numFmtId="165" fontId="15" fillId="0" borderId="13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top" wrapText="1"/>
    </xf>
    <xf numFmtId="165" fontId="13" fillId="0" borderId="19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7" fillId="0" borderId="22" xfId="0" applyFont="1" applyFill="1" applyBorder="1"/>
    <xf numFmtId="0" fontId="14" fillId="0" borderId="19" xfId="0" applyFont="1" applyFill="1" applyBorder="1" applyAlignment="1">
      <alignment horizontal="left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/>
    <xf numFmtId="0" fontId="14" fillId="0" borderId="13" xfId="0" applyFont="1" applyFill="1" applyBorder="1" applyAlignment="1">
      <alignment horizontal="left" vertical="center" wrapText="1"/>
    </xf>
    <xf numFmtId="164" fontId="23" fillId="6" borderId="22" xfId="0" applyNumberFormat="1" applyFont="1" applyFill="1" applyBorder="1" applyAlignment="1">
      <alignment horizontal="center" vertical="center" wrapText="1"/>
    </xf>
    <xf numFmtId="164" fontId="23" fillId="6" borderId="25" xfId="0" applyNumberFormat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left" vertical="top" wrapText="1"/>
    </xf>
    <xf numFmtId="0" fontId="22" fillId="6" borderId="15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9" borderId="7" xfId="0" applyFont="1" applyFill="1" applyBorder="1" applyAlignment="1">
      <alignment horizontal="center" vertical="center" wrapText="1" shrinkToFit="1"/>
    </xf>
    <xf numFmtId="0" fontId="1" fillId="9" borderId="4" xfId="0" applyFont="1" applyFill="1" applyBorder="1" applyAlignment="1">
      <alignment horizontal="center" vertical="center" wrapText="1" shrinkToFit="1"/>
    </xf>
    <xf numFmtId="0" fontId="1" fillId="8" borderId="7" xfId="0" applyFont="1" applyFill="1" applyBorder="1" applyAlignment="1">
      <alignment horizontal="center" vertical="center" wrapText="1" shrinkToFit="1"/>
    </xf>
    <xf numFmtId="0" fontId="1" fillId="8" borderId="4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5</xdr:row>
      <xdr:rowOff>409575</xdr:rowOff>
    </xdr:from>
    <xdr:ext cx="184731" cy="264560"/>
    <xdr:sp macro="" textlink="">
      <xdr:nvSpPr>
        <xdr:cNvPr id="2" name="Текстово поле 1"/>
        <xdr:cNvSpPr txBox="1"/>
      </xdr:nvSpPr>
      <xdr:spPr>
        <a:xfrm>
          <a:off x="5153025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485775</xdr:colOff>
      <xdr:row>5</xdr:row>
      <xdr:rowOff>409575</xdr:rowOff>
    </xdr:from>
    <xdr:ext cx="184731" cy="264560"/>
    <xdr:sp macro="" textlink="">
      <xdr:nvSpPr>
        <xdr:cNvPr id="3" name="Текстово поле 2"/>
        <xdr:cNvSpPr txBox="1"/>
      </xdr:nvSpPr>
      <xdr:spPr>
        <a:xfrm>
          <a:off x="5153025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7</xdr:col>
      <xdr:colOff>485775</xdr:colOff>
      <xdr:row>5</xdr:row>
      <xdr:rowOff>409575</xdr:rowOff>
    </xdr:from>
    <xdr:ext cx="184731" cy="264560"/>
    <xdr:sp macro="" textlink="">
      <xdr:nvSpPr>
        <xdr:cNvPr id="4" name="Текстово поле 3"/>
        <xdr:cNvSpPr txBox="1"/>
      </xdr:nvSpPr>
      <xdr:spPr>
        <a:xfrm>
          <a:off x="5153025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07"/>
  <sheetViews>
    <sheetView tabSelected="1" topLeftCell="B331" zoomScale="84" zoomScaleNormal="84" workbookViewId="0">
      <selection activeCell="P651" sqref="P651"/>
    </sheetView>
  </sheetViews>
  <sheetFormatPr defaultRowHeight="15" x14ac:dyDescent="0.25"/>
  <cols>
    <col min="1" max="1" width="2.7109375" customWidth="1"/>
    <col min="2" max="2" width="9.85546875" customWidth="1"/>
    <col min="3" max="3" width="13.42578125" customWidth="1"/>
    <col min="4" max="4" width="16.140625" customWidth="1"/>
    <col min="5" max="5" width="13.140625" style="167" customWidth="1"/>
    <col min="6" max="6" width="10" customWidth="1"/>
    <col min="7" max="7" width="14.140625" style="2" customWidth="1"/>
    <col min="8" max="8" width="17" style="2" customWidth="1"/>
    <col min="9" max="9" width="15.28515625" customWidth="1"/>
    <col min="10" max="10" width="12.85546875" customWidth="1"/>
    <col min="11" max="11" width="13.42578125" customWidth="1"/>
    <col min="12" max="12" width="14.140625" customWidth="1"/>
    <col min="13" max="13" width="13.28515625" customWidth="1"/>
    <col min="14" max="14" width="4.5703125" customWidth="1"/>
    <col min="15" max="15" width="5.140625" customWidth="1"/>
    <col min="16" max="16" width="17.85546875" style="39" customWidth="1"/>
    <col min="17" max="17" width="5.5703125" customWidth="1"/>
    <col min="18" max="18" width="6" customWidth="1"/>
    <col min="19" max="19" width="15.140625" customWidth="1"/>
  </cols>
  <sheetData>
    <row r="1" spans="1:400" ht="36" customHeight="1" thickBot="1" x14ac:dyDescent="0.3">
      <c r="A1" s="271" t="s">
        <v>210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</row>
    <row r="2" spans="1:400" ht="15.75" thickBot="1" x14ac:dyDescent="0.3">
      <c r="A2" s="4"/>
      <c r="B2" s="5" t="s">
        <v>0</v>
      </c>
      <c r="C2" s="285" t="s">
        <v>1</v>
      </c>
      <c r="D2" s="286"/>
      <c r="E2" s="274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</row>
    <row r="3" spans="1:400" ht="15" customHeight="1" x14ac:dyDescent="0.25">
      <c r="A3" s="287" t="s">
        <v>2</v>
      </c>
      <c r="B3" s="287" t="s">
        <v>3</v>
      </c>
      <c r="C3" s="279" t="s">
        <v>4</v>
      </c>
      <c r="D3" s="290" t="s">
        <v>5</v>
      </c>
      <c r="E3" s="291"/>
      <c r="F3" s="296" t="s">
        <v>8</v>
      </c>
      <c r="G3" s="263" t="s">
        <v>9</v>
      </c>
      <c r="H3" s="264"/>
      <c r="I3" s="281" t="s">
        <v>12</v>
      </c>
      <c r="J3" s="281" t="s">
        <v>13</v>
      </c>
      <c r="K3" s="283" t="s">
        <v>14</v>
      </c>
      <c r="L3" s="279" t="s">
        <v>15</v>
      </c>
      <c r="M3" s="279" t="s">
        <v>16</v>
      </c>
      <c r="N3" s="269" t="s">
        <v>17</v>
      </c>
      <c r="O3" s="269" t="s">
        <v>18</v>
      </c>
      <c r="P3" s="279" t="s">
        <v>19</v>
      </c>
      <c r="Q3" s="277" t="s">
        <v>20</v>
      </c>
      <c r="R3" s="279" t="s">
        <v>21</v>
      </c>
      <c r="S3" s="260" t="s">
        <v>56</v>
      </c>
    </row>
    <row r="4" spans="1:400" x14ac:dyDescent="0.25">
      <c r="A4" s="288"/>
      <c r="B4" s="289"/>
      <c r="C4" s="280"/>
      <c r="D4" s="292"/>
      <c r="E4" s="293"/>
      <c r="F4" s="297"/>
      <c r="G4" s="265"/>
      <c r="H4" s="266"/>
      <c r="I4" s="282"/>
      <c r="J4" s="282"/>
      <c r="K4" s="284"/>
      <c r="L4" s="280"/>
      <c r="M4" s="280"/>
      <c r="N4" s="270"/>
      <c r="O4" s="270"/>
      <c r="P4" s="280"/>
      <c r="Q4" s="278"/>
      <c r="R4" s="280"/>
      <c r="S4" s="261"/>
    </row>
    <row r="5" spans="1:400" ht="15.75" customHeight="1" thickBot="1" x14ac:dyDescent="0.3">
      <c r="A5" s="288"/>
      <c r="B5" s="289"/>
      <c r="C5" s="280"/>
      <c r="D5" s="294"/>
      <c r="E5" s="295"/>
      <c r="F5" s="297"/>
      <c r="G5" s="267"/>
      <c r="H5" s="268"/>
      <c r="I5" s="282"/>
      <c r="J5" s="282"/>
      <c r="K5" s="284"/>
      <c r="L5" s="280"/>
      <c r="M5" s="280"/>
      <c r="N5" s="270"/>
      <c r="O5" s="270"/>
      <c r="P5" s="280"/>
      <c r="Q5" s="278"/>
      <c r="R5" s="280"/>
      <c r="S5" s="261"/>
    </row>
    <row r="6" spans="1:400" ht="121.5" customHeight="1" thickBot="1" x14ac:dyDescent="0.3">
      <c r="A6" s="288"/>
      <c r="B6" s="289"/>
      <c r="C6" s="280"/>
      <c r="D6" s="6" t="s">
        <v>6</v>
      </c>
      <c r="E6" s="165" t="s">
        <v>7</v>
      </c>
      <c r="F6" s="297"/>
      <c r="G6" s="181" t="s">
        <v>10</v>
      </c>
      <c r="H6" s="181" t="s">
        <v>11</v>
      </c>
      <c r="I6" s="282"/>
      <c r="J6" s="282"/>
      <c r="K6" s="284"/>
      <c r="L6" s="280"/>
      <c r="M6" s="280"/>
      <c r="N6" s="270"/>
      <c r="O6" s="270"/>
      <c r="P6" s="280"/>
      <c r="Q6" s="278"/>
      <c r="R6" s="280"/>
      <c r="S6" s="262"/>
    </row>
    <row r="7" spans="1:400" ht="14.25" customHeight="1" thickBot="1" x14ac:dyDescent="0.3">
      <c r="A7" s="7">
        <v>1</v>
      </c>
      <c r="B7" s="8">
        <v>2</v>
      </c>
      <c r="C7" s="186">
        <v>3</v>
      </c>
      <c r="D7" s="186">
        <v>4</v>
      </c>
      <c r="E7" s="188">
        <v>5</v>
      </c>
      <c r="F7" s="8">
        <v>6</v>
      </c>
      <c r="G7" s="183">
        <v>7</v>
      </c>
      <c r="H7" s="184">
        <v>8</v>
      </c>
      <c r="I7" s="9">
        <v>9</v>
      </c>
      <c r="J7" s="8">
        <v>11</v>
      </c>
      <c r="K7" s="8">
        <v>12</v>
      </c>
      <c r="L7" s="10">
        <v>13</v>
      </c>
      <c r="M7" s="10">
        <v>14</v>
      </c>
      <c r="N7" s="7">
        <v>15</v>
      </c>
      <c r="O7" s="7">
        <v>16</v>
      </c>
      <c r="P7" s="31">
        <v>17</v>
      </c>
      <c r="Q7" s="11">
        <v>18</v>
      </c>
      <c r="R7" s="11">
        <v>19</v>
      </c>
      <c r="S7" s="12">
        <v>20</v>
      </c>
    </row>
    <row r="8" spans="1:400" s="2" customFormat="1" ht="36.75" customHeight="1" x14ac:dyDescent="0.25">
      <c r="A8" s="13"/>
      <c r="B8" s="14" t="s">
        <v>22</v>
      </c>
      <c r="C8" s="116" t="s">
        <v>60</v>
      </c>
      <c r="D8" s="133">
        <v>2011</v>
      </c>
      <c r="E8" s="93">
        <v>17415.05</v>
      </c>
      <c r="F8" s="81"/>
      <c r="H8" s="81">
        <v>26269.13</v>
      </c>
      <c r="I8" s="81"/>
      <c r="J8" s="82"/>
      <c r="K8" s="82"/>
      <c r="L8" s="32"/>
      <c r="M8" s="32"/>
      <c r="N8" s="42"/>
      <c r="O8" s="42"/>
      <c r="P8" s="81">
        <v>0</v>
      </c>
      <c r="Q8" s="42"/>
      <c r="R8" s="43"/>
      <c r="S8" s="44"/>
    </row>
    <row r="9" spans="1:400" ht="22.5" customHeight="1" x14ac:dyDescent="0.25">
      <c r="A9" s="15"/>
      <c r="B9" s="16"/>
      <c r="C9" s="116" t="s">
        <v>60</v>
      </c>
      <c r="D9" s="97">
        <v>2012</v>
      </c>
      <c r="E9" s="83">
        <v>16855.93</v>
      </c>
      <c r="F9" s="84"/>
      <c r="G9" s="118">
        <v>3895.56</v>
      </c>
      <c r="H9" s="118">
        <v>103533.75</v>
      </c>
      <c r="I9" s="85"/>
      <c r="J9" s="85"/>
      <c r="K9" s="84"/>
      <c r="L9" s="34"/>
      <c r="M9" s="34"/>
      <c r="N9" s="45"/>
      <c r="O9" s="45"/>
      <c r="P9" s="81">
        <v>0</v>
      </c>
      <c r="Q9" s="45"/>
      <c r="R9" s="46"/>
      <c r="S9" s="4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400" s="1" customFormat="1" ht="47.25" customHeight="1" x14ac:dyDescent="0.25">
      <c r="A10" s="17"/>
      <c r="B10" s="18"/>
      <c r="C10" s="123" t="s">
        <v>60</v>
      </c>
      <c r="D10" s="96" t="s">
        <v>25</v>
      </c>
      <c r="E10" s="86">
        <v>34270.980000000003</v>
      </c>
      <c r="F10" s="87"/>
      <c r="G10" s="88">
        <v>3895.56</v>
      </c>
      <c r="H10" s="88">
        <v>129802.88</v>
      </c>
      <c r="I10" s="88"/>
      <c r="J10" s="88"/>
      <c r="K10" s="87"/>
      <c r="L10" s="28"/>
      <c r="M10" s="28"/>
      <c r="N10" s="48"/>
      <c r="O10" s="48"/>
      <c r="P10" s="173">
        <v>0</v>
      </c>
      <c r="Q10" s="48"/>
      <c r="R10" s="49"/>
      <c r="S10" s="5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</row>
    <row r="11" spans="1:400" x14ac:dyDescent="0.25">
      <c r="A11" s="15"/>
      <c r="B11" s="16"/>
      <c r="C11" s="116" t="s">
        <v>60</v>
      </c>
      <c r="D11" s="97">
        <v>2013</v>
      </c>
      <c r="E11" s="83">
        <v>16458.28</v>
      </c>
      <c r="F11" s="84"/>
      <c r="G11" s="118">
        <v>52177</v>
      </c>
      <c r="H11" s="118">
        <v>194930.55</v>
      </c>
      <c r="I11" s="85"/>
      <c r="J11" s="85"/>
      <c r="K11" s="84"/>
      <c r="L11" s="34"/>
      <c r="M11" s="34"/>
      <c r="N11" s="45"/>
      <c r="O11" s="45"/>
      <c r="P11" s="81">
        <v>0</v>
      </c>
      <c r="Q11" s="45"/>
      <c r="R11" s="46"/>
      <c r="S11" s="51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</row>
    <row r="12" spans="1:400" s="1" customFormat="1" ht="25.5" x14ac:dyDescent="0.25">
      <c r="A12" s="17"/>
      <c r="B12" s="18"/>
      <c r="C12" s="123" t="s">
        <v>60</v>
      </c>
      <c r="D12" s="96" t="s">
        <v>23</v>
      </c>
      <c r="E12" s="86">
        <v>50729.26</v>
      </c>
      <c r="F12" s="87"/>
      <c r="G12" s="88">
        <v>56072.56</v>
      </c>
      <c r="H12" s="88">
        <v>324733.43</v>
      </c>
      <c r="I12" s="88"/>
      <c r="J12" s="88"/>
      <c r="K12" s="87"/>
      <c r="L12" s="28"/>
      <c r="M12" s="28"/>
      <c r="N12" s="48"/>
      <c r="O12" s="48"/>
      <c r="P12" s="173">
        <v>0</v>
      </c>
      <c r="Q12" s="48"/>
      <c r="R12" s="49"/>
      <c r="S12" s="5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</row>
    <row r="13" spans="1:400" x14ac:dyDescent="0.25">
      <c r="A13" s="15"/>
      <c r="B13" s="16"/>
      <c r="C13" s="116" t="s">
        <v>60</v>
      </c>
      <c r="D13" s="97">
        <v>2014</v>
      </c>
      <c r="E13" s="83">
        <v>11115.12</v>
      </c>
      <c r="F13" s="84"/>
      <c r="G13" s="118">
        <v>36254.879999999997</v>
      </c>
      <c r="H13" s="118">
        <v>385533.99</v>
      </c>
      <c r="I13" s="85"/>
      <c r="J13" s="85"/>
      <c r="K13" s="84"/>
      <c r="L13" s="34"/>
      <c r="M13" s="34"/>
      <c r="N13" s="45"/>
      <c r="O13" s="45"/>
      <c r="P13" s="81">
        <v>0</v>
      </c>
      <c r="Q13" s="45"/>
      <c r="R13" s="46"/>
      <c r="S13" s="4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</row>
    <row r="14" spans="1:400" s="1" customFormat="1" ht="41.25" customHeight="1" x14ac:dyDescent="0.25">
      <c r="A14" s="17"/>
      <c r="B14" s="18"/>
      <c r="C14" s="123" t="s">
        <v>60</v>
      </c>
      <c r="D14" s="96" t="s">
        <v>24</v>
      </c>
      <c r="E14" s="89">
        <v>61844.38</v>
      </c>
      <c r="F14" s="87"/>
      <c r="G14" s="87">
        <f>SUM(G12+G13)</f>
        <v>92327.44</v>
      </c>
      <c r="H14" s="87">
        <f t="shared" ref="H14" si="0">SUM(H12+H13)</f>
        <v>710267.41999999993</v>
      </c>
      <c r="I14" s="87"/>
      <c r="J14" s="87"/>
      <c r="K14" s="87"/>
      <c r="L14" s="28"/>
      <c r="M14" s="28"/>
      <c r="N14" s="48"/>
      <c r="O14" s="48"/>
      <c r="P14" s="173">
        <v>0</v>
      </c>
      <c r="Q14" s="48"/>
      <c r="R14" s="49"/>
      <c r="S14" s="5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</row>
    <row r="15" spans="1:400" x14ac:dyDescent="0.25">
      <c r="A15" s="15"/>
      <c r="B15" s="16"/>
      <c r="C15" s="189" t="s">
        <v>60</v>
      </c>
      <c r="D15" s="98">
        <v>2015</v>
      </c>
      <c r="E15" s="90">
        <v>11202.05</v>
      </c>
      <c r="F15" s="84">
        <v>2.64</v>
      </c>
      <c r="G15" s="118">
        <f>E15*F15</f>
        <v>29573.412</v>
      </c>
      <c r="H15" s="118">
        <v>313657.51</v>
      </c>
      <c r="I15" s="85"/>
      <c r="J15" s="85"/>
      <c r="K15" s="84"/>
      <c r="L15" s="34"/>
      <c r="M15" s="34"/>
      <c r="N15" s="45"/>
      <c r="O15" s="45"/>
      <c r="P15" s="92">
        <v>470394.5</v>
      </c>
      <c r="Q15" s="45"/>
      <c r="R15" s="46"/>
      <c r="S15" s="4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</row>
    <row r="16" spans="1:400" x14ac:dyDescent="0.25">
      <c r="A16" s="15"/>
      <c r="B16" s="16"/>
      <c r="C16" s="174" t="s">
        <v>27</v>
      </c>
      <c r="D16" s="98">
        <v>2015</v>
      </c>
      <c r="E16" s="91">
        <v>112.94</v>
      </c>
      <c r="F16" s="84">
        <v>2.64</v>
      </c>
      <c r="G16" s="118">
        <f>E16*F16</f>
        <v>298.16160000000002</v>
      </c>
      <c r="H16" s="106">
        <v>3162.32</v>
      </c>
      <c r="I16" s="92"/>
      <c r="J16" s="92"/>
      <c r="K16" s="84"/>
      <c r="L16" s="34"/>
      <c r="M16" s="34"/>
      <c r="N16" s="45"/>
      <c r="O16" s="45"/>
      <c r="P16" s="92"/>
      <c r="Q16" s="45"/>
      <c r="R16" s="46"/>
      <c r="S16" s="4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</row>
    <row r="17" spans="1:400" ht="38.25" x14ac:dyDescent="0.25">
      <c r="A17" s="15"/>
      <c r="B17" s="16"/>
      <c r="C17" s="101" t="s">
        <v>37</v>
      </c>
      <c r="D17" s="98">
        <v>2015</v>
      </c>
      <c r="E17" s="91">
        <v>200.46</v>
      </c>
      <c r="F17" s="84">
        <v>0</v>
      </c>
      <c r="G17" s="106">
        <v>0</v>
      </c>
      <c r="H17" s="106">
        <v>0</v>
      </c>
      <c r="I17" s="92"/>
      <c r="J17" s="92"/>
      <c r="K17" s="84"/>
      <c r="L17" s="34"/>
      <c r="M17" s="34"/>
      <c r="N17" s="45"/>
      <c r="O17" s="45"/>
      <c r="P17" s="92"/>
      <c r="Q17" s="45"/>
      <c r="R17" s="46"/>
      <c r="S17" s="4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</row>
    <row r="18" spans="1:400" s="1" customFormat="1" ht="45" customHeight="1" x14ac:dyDescent="0.25">
      <c r="A18" s="17"/>
      <c r="B18" s="18"/>
      <c r="C18" s="123" t="s">
        <v>60</v>
      </c>
      <c r="D18" s="96" t="s">
        <v>26</v>
      </c>
      <c r="E18" s="89">
        <v>73359.83</v>
      </c>
      <c r="F18" s="87"/>
      <c r="G18" s="87">
        <f>SUM(G14:G17)</f>
        <v>122199.01360000001</v>
      </c>
      <c r="H18" s="87">
        <f t="shared" ref="H18" si="1">SUM(H14:H17)</f>
        <v>1027087.2499999999</v>
      </c>
      <c r="I18" s="87"/>
      <c r="J18" s="87"/>
      <c r="K18" s="87"/>
      <c r="L18" s="28"/>
      <c r="M18" s="28"/>
      <c r="N18" s="48"/>
      <c r="O18" s="48"/>
      <c r="P18" s="105">
        <v>470394.5</v>
      </c>
      <c r="Q18" s="48"/>
      <c r="R18" s="49"/>
      <c r="S18" s="50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</row>
    <row r="19" spans="1:400" s="2" customFormat="1" x14ac:dyDescent="0.25">
      <c r="A19" s="19"/>
      <c r="B19" s="20"/>
      <c r="C19" s="116" t="s">
        <v>60</v>
      </c>
      <c r="D19" s="99" t="s">
        <v>29</v>
      </c>
      <c r="E19" s="93">
        <v>3133.424</v>
      </c>
      <c r="F19" s="94">
        <v>5.91</v>
      </c>
      <c r="G19" s="94">
        <f>E19*F19</f>
        <v>18518.53584</v>
      </c>
      <c r="H19" s="94">
        <v>112803.264</v>
      </c>
      <c r="I19" s="94"/>
      <c r="J19" s="94"/>
      <c r="K19" s="94"/>
      <c r="L19" s="29"/>
      <c r="M19" s="29"/>
      <c r="N19" s="30"/>
      <c r="O19" s="30"/>
      <c r="P19" s="94">
        <v>0</v>
      </c>
      <c r="Q19" s="30"/>
      <c r="R19" s="52"/>
      <c r="S19" s="47"/>
    </row>
    <row r="20" spans="1:400" s="2" customFormat="1" x14ac:dyDescent="0.25">
      <c r="A20" s="19"/>
      <c r="B20" s="20"/>
      <c r="C20" s="116" t="s">
        <v>27</v>
      </c>
      <c r="D20" s="99" t="s">
        <v>29</v>
      </c>
      <c r="E20" s="93">
        <v>26.44</v>
      </c>
      <c r="F20" s="94">
        <v>5.91</v>
      </c>
      <c r="G20" s="94">
        <f>E20*F20</f>
        <v>156.2604</v>
      </c>
      <c r="H20" s="94">
        <v>951.84</v>
      </c>
      <c r="I20" s="94"/>
      <c r="J20" s="94"/>
      <c r="K20" s="94"/>
      <c r="L20" s="29"/>
      <c r="M20" s="29"/>
      <c r="N20" s="30"/>
      <c r="O20" s="30"/>
      <c r="P20" s="94"/>
      <c r="Q20" s="30"/>
      <c r="R20" s="52"/>
      <c r="S20" s="47"/>
    </row>
    <row r="21" spans="1:400" s="2" customFormat="1" ht="75.75" customHeight="1" x14ac:dyDescent="0.25">
      <c r="A21" s="19"/>
      <c r="B21" s="20"/>
      <c r="C21" s="21" t="s">
        <v>28</v>
      </c>
      <c r="D21" s="40"/>
      <c r="E21" s="93"/>
      <c r="F21" s="94"/>
      <c r="G21" s="106">
        <v>-16969.7</v>
      </c>
      <c r="H21" s="106">
        <v>16969.7</v>
      </c>
      <c r="I21" s="92"/>
      <c r="J21" s="92"/>
      <c r="K21" s="95"/>
      <c r="L21" s="29"/>
      <c r="M21" s="29"/>
      <c r="N21" s="30"/>
      <c r="O21" s="30"/>
      <c r="P21" s="94"/>
      <c r="Q21" s="30"/>
      <c r="R21" s="52"/>
      <c r="S21" s="47"/>
    </row>
    <row r="22" spans="1:400" s="2" customFormat="1" ht="38.25" x14ac:dyDescent="0.25">
      <c r="A22" s="17"/>
      <c r="B22" s="18"/>
      <c r="C22" s="123" t="s">
        <v>60</v>
      </c>
      <c r="D22" s="100" t="s">
        <v>30</v>
      </c>
      <c r="E22" s="89">
        <v>76519.694000000003</v>
      </c>
      <c r="F22" s="28"/>
      <c r="G22" s="87">
        <f>SUM(G18:G21)</f>
        <v>123904.10984</v>
      </c>
      <c r="H22" s="87">
        <f t="shared" ref="H22" si="2">SUM(H18:H21)</f>
        <v>1157812.054</v>
      </c>
      <c r="I22" s="87"/>
      <c r="J22" s="87"/>
      <c r="K22" s="87"/>
      <c r="L22" s="28"/>
      <c r="M22" s="28"/>
      <c r="N22" s="48"/>
      <c r="O22" s="48"/>
      <c r="P22" s="105">
        <v>470394.5</v>
      </c>
      <c r="Q22" s="48"/>
      <c r="R22" s="49"/>
      <c r="S22" s="50"/>
    </row>
    <row r="23" spans="1:400" s="2" customFormat="1" x14ac:dyDescent="0.25">
      <c r="A23" s="19"/>
      <c r="B23" s="20"/>
      <c r="C23" s="116" t="s">
        <v>60</v>
      </c>
      <c r="D23" s="99" t="s">
        <v>31</v>
      </c>
      <c r="E23" s="93">
        <v>3282.2370000000001</v>
      </c>
      <c r="F23" s="94">
        <v>5.91</v>
      </c>
      <c r="G23" s="94">
        <f>E23*F23</f>
        <v>19398.020670000002</v>
      </c>
      <c r="H23" s="94">
        <v>118160.53200000001</v>
      </c>
      <c r="I23" s="94"/>
      <c r="J23" s="94"/>
      <c r="K23" s="94"/>
      <c r="L23" s="94"/>
      <c r="M23" s="94"/>
      <c r="N23" s="95"/>
      <c r="O23" s="95"/>
      <c r="P23" s="94">
        <v>0</v>
      </c>
      <c r="Q23" s="30"/>
      <c r="R23" s="52"/>
      <c r="S23" s="47"/>
    </row>
    <row r="24" spans="1:400" s="2" customFormat="1" x14ac:dyDescent="0.25">
      <c r="A24" s="19"/>
      <c r="B24" s="20"/>
      <c r="C24" s="116" t="s">
        <v>27</v>
      </c>
      <c r="D24" s="99" t="s">
        <v>31</v>
      </c>
      <c r="E24" s="93">
        <v>165.78</v>
      </c>
      <c r="F24" s="94">
        <v>5.91</v>
      </c>
      <c r="G24" s="94">
        <f>E24*F24</f>
        <v>979.75980000000004</v>
      </c>
      <c r="H24" s="94">
        <v>5968.08</v>
      </c>
      <c r="I24" s="94"/>
      <c r="J24" s="94"/>
      <c r="K24" s="94"/>
      <c r="L24" s="94"/>
      <c r="M24" s="94"/>
      <c r="N24" s="95"/>
      <c r="O24" s="95"/>
      <c r="P24" s="94"/>
      <c r="Q24" s="30"/>
      <c r="R24" s="52"/>
      <c r="S24" s="47"/>
    </row>
    <row r="25" spans="1:400" s="2" customFormat="1" ht="38.25" x14ac:dyDescent="0.25">
      <c r="A25" s="19"/>
      <c r="B25" s="20"/>
      <c r="C25" s="101" t="s">
        <v>37</v>
      </c>
      <c r="D25" s="99"/>
      <c r="E25" s="93">
        <v>0.74</v>
      </c>
      <c r="F25" s="94">
        <v>0</v>
      </c>
      <c r="G25" s="94">
        <v>0</v>
      </c>
      <c r="H25" s="94">
        <v>0</v>
      </c>
      <c r="I25" s="94"/>
      <c r="J25" s="94"/>
      <c r="K25" s="94"/>
      <c r="L25" s="94"/>
      <c r="M25" s="94"/>
      <c r="N25" s="95"/>
      <c r="O25" s="95"/>
      <c r="P25" s="94"/>
      <c r="Q25" s="30"/>
      <c r="R25" s="52"/>
      <c r="S25" s="47"/>
    </row>
    <row r="26" spans="1:400" s="2" customFormat="1" ht="39" customHeight="1" x14ac:dyDescent="0.25">
      <c r="A26" s="17"/>
      <c r="B26" s="18"/>
      <c r="C26" s="123" t="s">
        <v>60</v>
      </c>
      <c r="D26" s="100" t="s">
        <v>32</v>
      </c>
      <c r="E26" s="89">
        <v>79968.451000000001</v>
      </c>
      <c r="F26" s="87"/>
      <c r="G26" s="87">
        <f>SUM(G22:G25)</f>
        <v>144281.89031000002</v>
      </c>
      <c r="H26" s="87">
        <f t="shared" ref="H26" si="3">SUM(H22:H25)</f>
        <v>1281940.6660000002</v>
      </c>
      <c r="I26" s="87"/>
      <c r="J26" s="87"/>
      <c r="K26" s="87"/>
      <c r="L26" s="28"/>
      <c r="M26" s="28"/>
      <c r="N26" s="48"/>
      <c r="O26" s="48"/>
      <c r="P26" s="105">
        <v>470394.5</v>
      </c>
      <c r="Q26" s="48"/>
      <c r="R26" s="49"/>
      <c r="S26" s="50"/>
    </row>
    <row r="27" spans="1:400" s="2" customFormat="1" x14ac:dyDescent="0.25">
      <c r="A27" s="19"/>
      <c r="B27" s="20"/>
      <c r="C27" s="116" t="s">
        <v>60</v>
      </c>
      <c r="D27" s="99" t="s">
        <v>33</v>
      </c>
      <c r="E27" s="93">
        <v>3236.6509999999998</v>
      </c>
      <c r="F27" s="94">
        <v>5.91</v>
      </c>
      <c r="G27" s="94">
        <f>E27*F27</f>
        <v>19128.607410000001</v>
      </c>
      <c r="H27" s="94">
        <v>116519.436</v>
      </c>
      <c r="I27" s="94"/>
      <c r="J27" s="94"/>
      <c r="K27" s="94"/>
      <c r="L27" s="29"/>
      <c r="M27" s="29"/>
      <c r="N27" s="30"/>
      <c r="O27" s="30"/>
      <c r="P27" s="94">
        <v>0</v>
      </c>
      <c r="Q27" s="30"/>
      <c r="R27" s="52"/>
      <c r="S27" s="47"/>
    </row>
    <row r="28" spans="1:400" s="2" customFormat="1" x14ac:dyDescent="0.25">
      <c r="A28" s="19"/>
      <c r="B28" s="20"/>
      <c r="C28" s="116" t="s">
        <v>27</v>
      </c>
      <c r="D28" s="99" t="s">
        <v>33</v>
      </c>
      <c r="E28" s="93">
        <v>128.13999999999999</v>
      </c>
      <c r="F28" s="94">
        <v>5.91</v>
      </c>
      <c r="G28" s="94">
        <f>E28*F28</f>
        <v>757.30739999999992</v>
      </c>
      <c r="H28" s="94">
        <v>4613.04</v>
      </c>
      <c r="I28" s="94"/>
      <c r="J28" s="94"/>
      <c r="K28" s="94"/>
      <c r="L28" s="29"/>
      <c r="M28" s="29"/>
      <c r="N28" s="30"/>
      <c r="O28" s="30"/>
      <c r="P28" s="94"/>
      <c r="Q28" s="30"/>
      <c r="R28" s="52"/>
      <c r="S28" s="47"/>
    </row>
    <row r="29" spans="1:400" s="2" customFormat="1" ht="38.25" x14ac:dyDescent="0.25">
      <c r="A29" s="17"/>
      <c r="B29" s="18"/>
      <c r="C29" s="123" t="s">
        <v>60</v>
      </c>
      <c r="D29" s="100" t="s">
        <v>35</v>
      </c>
      <c r="E29" s="89">
        <v>83333.241999999998</v>
      </c>
      <c r="F29" s="89"/>
      <c r="G29" s="87">
        <f>SUM(G26:G28)</f>
        <v>164167.80512</v>
      </c>
      <c r="H29" s="87">
        <f t="shared" ref="H29" si="4">SUM(H26:H28)</f>
        <v>1403073.1420000002</v>
      </c>
      <c r="I29" s="87"/>
      <c r="J29" s="87"/>
      <c r="K29" s="87"/>
      <c r="L29" s="87"/>
      <c r="M29" s="87"/>
      <c r="N29" s="48"/>
      <c r="O29" s="48"/>
      <c r="P29" s="105">
        <v>470394.5</v>
      </c>
      <c r="Q29" s="48"/>
      <c r="R29" s="49"/>
      <c r="S29" s="50"/>
    </row>
    <row r="30" spans="1:400" s="2" customFormat="1" x14ac:dyDescent="0.25">
      <c r="A30" s="19"/>
      <c r="B30" s="20"/>
      <c r="C30" s="116" t="s">
        <v>60</v>
      </c>
      <c r="D30" s="99" t="s">
        <v>34</v>
      </c>
      <c r="E30" s="93">
        <v>3172.5329999999999</v>
      </c>
      <c r="F30" s="94">
        <v>5.91</v>
      </c>
      <c r="G30" s="94">
        <f>E30*F30</f>
        <v>18749.670030000001</v>
      </c>
      <c r="H30" s="94">
        <v>114211.18799999999</v>
      </c>
      <c r="I30" s="94"/>
      <c r="J30" s="94"/>
      <c r="K30" s="94"/>
      <c r="L30" s="94"/>
      <c r="M30" s="94"/>
      <c r="N30" s="30"/>
      <c r="O30" s="30"/>
      <c r="P30" s="94">
        <v>0</v>
      </c>
      <c r="Q30" s="30"/>
      <c r="R30" s="52"/>
      <c r="S30" s="47"/>
    </row>
    <row r="31" spans="1:400" s="2" customFormat="1" x14ac:dyDescent="0.25">
      <c r="A31" s="19"/>
      <c r="B31" s="20"/>
      <c r="C31" s="116" t="s">
        <v>27</v>
      </c>
      <c r="D31" s="99" t="s">
        <v>34</v>
      </c>
      <c r="E31" s="93">
        <v>169.53</v>
      </c>
      <c r="F31" s="94">
        <v>5.91</v>
      </c>
      <c r="G31" s="94">
        <f>E31*F31</f>
        <v>1001.9223000000001</v>
      </c>
      <c r="H31" s="94">
        <v>6103.08</v>
      </c>
      <c r="I31" s="94"/>
      <c r="J31" s="94"/>
      <c r="K31" s="94"/>
      <c r="L31" s="94"/>
      <c r="M31" s="94"/>
      <c r="N31" s="30"/>
      <c r="O31" s="30"/>
      <c r="P31" s="94"/>
      <c r="Q31" s="30"/>
      <c r="R31" s="52"/>
      <c r="S31" s="47"/>
    </row>
    <row r="32" spans="1:400" s="2" customFormat="1" ht="38.25" x14ac:dyDescent="0.25">
      <c r="A32" s="17"/>
      <c r="B32" s="18"/>
      <c r="C32" s="123" t="s">
        <v>60</v>
      </c>
      <c r="D32" s="100" t="s">
        <v>36</v>
      </c>
      <c r="E32" s="89">
        <v>86675.304999999993</v>
      </c>
      <c r="F32" s="89"/>
      <c r="G32" s="87">
        <f>SUM(G29:G31)</f>
        <v>183919.39745000002</v>
      </c>
      <c r="H32" s="87">
        <f t="shared" ref="H32" si="5">SUM(H29:H31)</f>
        <v>1523387.4100000004</v>
      </c>
      <c r="I32" s="87"/>
      <c r="J32" s="87"/>
      <c r="K32" s="87"/>
      <c r="L32" s="87"/>
      <c r="M32" s="87"/>
      <c r="N32" s="48"/>
      <c r="O32" s="48"/>
      <c r="P32" s="105">
        <v>470394.5</v>
      </c>
      <c r="Q32" s="48"/>
      <c r="R32" s="49"/>
      <c r="S32" s="50"/>
    </row>
    <row r="33" spans="1:19" s="2" customFormat="1" x14ac:dyDescent="0.25">
      <c r="A33" s="19"/>
      <c r="B33" s="20"/>
      <c r="C33" s="116" t="s">
        <v>60</v>
      </c>
      <c r="D33" s="99" t="s">
        <v>57</v>
      </c>
      <c r="E33" s="93">
        <v>2709.6759999999999</v>
      </c>
      <c r="F33" s="94">
        <v>5.91</v>
      </c>
      <c r="G33" s="94">
        <v>18794.61</v>
      </c>
      <c r="H33" s="94">
        <v>123857.04</v>
      </c>
      <c r="I33" s="94"/>
      <c r="J33" s="94"/>
      <c r="K33" s="94"/>
      <c r="L33" s="191"/>
      <c r="M33" s="94"/>
      <c r="N33" s="30"/>
      <c r="O33" s="30"/>
      <c r="P33" s="106">
        <v>0</v>
      </c>
      <c r="Q33" s="30"/>
      <c r="R33" s="52"/>
      <c r="S33" s="47"/>
    </row>
    <row r="34" spans="1:19" s="2" customFormat="1" x14ac:dyDescent="0.25">
      <c r="A34" s="19"/>
      <c r="B34" s="20"/>
      <c r="C34" s="116" t="s">
        <v>27</v>
      </c>
      <c r="D34" s="99" t="s">
        <v>57</v>
      </c>
      <c r="E34" s="93">
        <v>94</v>
      </c>
      <c r="F34" s="94">
        <v>5.91</v>
      </c>
      <c r="G34" s="94">
        <f>E34*F34</f>
        <v>555.54</v>
      </c>
      <c r="H34" s="94">
        <v>3760</v>
      </c>
      <c r="I34" s="94"/>
      <c r="J34" s="94"/>
      <c r="K34" s="94"/>
      <c r="L34" s="94"/>
      <c r="M34" s="94"/>
      <c r="N34" s="30"/>
      <c r="O34" s="30"/>
      <c r="P34" s="106"/>
      <c r="Q34" s="30"/>
      <c r="R34" s="52"/>
      <c r="S34" s="47"/>
    </row>
    <row r="35" spans="1:19" s="2" customFormat="1" ht="38.25" x14ac:dyDescent="0.25">
      <c r="A35" s="17"/>
      <c r="B35" s="18"/>
      <c r="C35" s="123" t="s">
        <v>60</v>
      </c>
      <c r="D35" s="100" t="s">
        <v>58</v>
      </c>
      <c r="E35" s="89">
        <v>89478.981</v>
      </c>
      <c r="F35" s="89"/>
      <c r="G35" s="87">
        <f>SUM(G32:G34)</f>
        <v>203269.54745000004</v>
      </c>
      <c r="H35" s="87">
        <f t="shared" ref="H35" si="6">SUM(H32:H34)</f>
        <v>1651004.4500000004</v>
      </c>
      <c r="I35" s="87"/>
      <c r="J35" s="87"/>
      <c r="K35" s="87"/>
      <c r="L35" s="87"/>
      <c r="M35" s="87"/>
      <c r="N35" s="48"/>
      <c r="O35" s="48"/>
      <c r="P35" s="105">
        <v>470394.5</v>
      </c>
      <c r="Q35" s="48"/>
      <c r="R35" s="49"/>
      <c r="S35" s="50"/>
    </row>
    <row r="36" spans="1:19" s="2" customFormat="1" x14ac:dyDescent="0.25">
      <c r="A36" s="19"/>
      <c r="B36" s="20"/>
      <c r="C36" s="116" t="s">
        <v>60</v>
      </c>
      <c r="D36" s="99" t="s">
        <v>61</v>
      </c>
      <c r="E36" s="93">
        <v>3327.2719999999999</v>
      </c>
      <c r="F36" s="94">
        <v>5.91</v>
      </c>
      <c r="G36" s="94">
        <f>E36*F36</f>
        <v>19664.177520000001</v>
      </c>
      <c r="H36" s="94">
        <v>133090.88</v>
      </c>
      <c r="I36" s="94"/>
      <c r="J36" s="94"/>
      <c r="K36" s="94"/>
      <c r="L36" s="94"/>
      <c r="M36" s="94"/>
      <c r="N36" s="30"/>
      <c r="O36" s="30"/>
      <c r="P36" s="106">
        <v>0</v>
      </c>
      <c r="Q36" s="30"/>
      <c r="R36" s="52"/>
      <c r="S36" s="47"/>
    </row>
    <row r="37" spans="1:19" s="2" customFormat="1" x14ac:dyDescent="0.25">
      <c r="A37" s="19"/>
      <c r="B37" s="20"/>
      <c r="C37" s="102" t="s">
        <v>27</v>
      </c>
      <c r="D37" s="99" t="s">
        <v>61</v>
      </c>
      <c r="E37" s="93">
        <v>131.22</v>
      </c>
      <c r="F37" s="94">
        <v>5.91</v>
      </c>
      <c r="G37" s="94">
        <f>E37*F37</f>
        <v>775.51020000000005</v>
      </c>
      <c r="H37" s="94">
        <v>5248.8</v>
      </c>
      <c r="I37" s="94"/>
      <c r="J37" s="94"/>
      <c r="K37" s="94"/>
      <c r="L37" s="94"/>
      <c r="M37" s="94"/>
      <c r="N37" s="30"/>
      <c r="O37" s="30"/>
      <c r="P37" s="106"/>
      <c r="Q37" s="30"/>
      <c r="R37" s="52"/>
      <c r="S37" s="47"/>
    </row>
    <row r="38" spans="1:19" s="2" customFormat="1" ht="38.25" x14ac:dyDescent="0.25">
      <c r="A38" s="17"/>
      <c r="B38" s="18"/>
      <c r="C38" s="103" t="s">
        <v>60</v>
      </c>
      <c r="D38" s="100" t="s">
        <v>63</v>
      </c>
      <c r="E38" s="89">
        <v>92937.472999999998</v>
      </c>
      <c r="F38" s="27"/>
      <c r="G38" s="87">
        <f>SUM(G35:G37)</f>
        <v>223709.23517000003</v>
      </c>
      <c r="H38" s="87">
        <f t="shared" ref="H38" si="7">SUM(H35:H37)</f>
        <v>1789344.1300000006</v>
      </c>
      <c r="I38" s="87"/>
      <c r="J38" s="87"/>
      <c r="K38" s="87"/>
      <c r="L38" s="28"/>
      <c r="M38" s="28"/>
      <c r="N38" s="48"/>
      <c r="O38" s="48"/>
      <c r="P38" s="105">
        <v>470394.5</v>
      </c>
      <c r="Q38" s="48"/>
      <c r="R38" s="49"/>
      <c r="S38" s="50"/>
    </row>
    <row r="39" spans="1:19" s="2" customFormat="1" x14ac:dyDescent="0.25">
      <c r="A39" s="19"/>
      <c r="B39" s="20"/>
      <c r="C39" s="102" t="s">
        <v>60</v>
      </c>
      <c r="D39" s="99" t="s">
        <v>64</v>
      </c>
      <c r="E39" s="93">
        <v>4103.95</v>
      </c>
      <c r="F39" s="94">
        <v>5.91</v>
      </c>
      <c r="G39" s="94">
        <f>E39*F39</f>
        <v>24254.344499999999</v>
      </c>
      <c r="H39" s="94">
        <v>164158</v>
      </c>
      <c r="I39" s="94"/>
      <c r="J39" s="94"/>
      <c r="K39" s="94"/>
      <c r="L39" s="29"/>
      <c r="M39" s="29"/>
      <c r="N39" s="30"/>
      <c r="O39" s="30"/>
      <c r="P39" s="106">
        <v>298929.59999999998</v>
      </c>
      <c r="Q39" s="30"/>
      <c r="R39" s="52"/>
      <c r="S39" s="47"/>
    </row>
    <row r="40" spans="1:19" s="2" customFormat="1" ht="41.25" customHeight="1" x14ac:dyDescent="0.25">
      <c r="A40" s="19"/>
      <c r="B40" s="20"/>
      <c r="C40" s="102" t="s">
        <v>37</v>
      </c>
      <c r="D40" s="104"/>
      <c r="E40" s="93">
        <v>84.14</v>
      </c>
      <c r="F40" s="94">
        <v>0</v>
      </c>
      <c r="G40" s="94">
        <f t="shared" ref="G40:G41" si="8">E40*F40</f>
        <v>0</v>
      </c>
      <c r="H40" s="94">
        <v>0</v>
      </c>
      <c r="I40" s="94"/>
      <c r="J40" s="94"/>
      <c r="K40" s="94"/>
      <c r="L40" s="29"/>
      <c r="M40" s="29"/>
      <c r="N40" s="30"/>
      <c r="O40" s="30"/>
      <c r="P40" s="106"/>
      <c r="Q40" s="30"/>
      <c r="R40" s="52"/>
      <c r="S40" s="47"/>
    </row>
    <row r="41" spans="1:19" s="2" customFormat="1" x14ac:dyDescent="0.25">
      <c r="A41" s="19"/>
      <c r="B41" s="20"/>
      <c r="C41" s="102" t="s">
        <v>27</v>
      </c>
      <c r="D41" s="99" t="s">
        <v>64</v>
      </c>
      <c r="E41" s="93">
        <v>113.681</v>
      </c>
      <c r="F41" s="94">
        <v>5.91</v>
      </c>
      <c r="G41" s="94">
        <f t="shared" si="8"/>
        <v>671.85470999999995</v>
      </c>
      <c r="H41" s="94">
        <v>4547.24</v>
      </c>
      <c r="I41" s="94"/>
      <c r="J41" s="94"/>
      <c r="K41" s="94"/>
      <c r="L41" s="29"/>
      <c r="M41" s="29"/>
      <c r="N41" s="30"/>
      <c r="O41" s="30"/>
      <c r="P41" s="106"/>
      <c r="Q41" s="30"/>
      <c r="R41" s="52"/>
      <c r="S41" s="47"/>
    </row>
    <row r="42" spans="1:19" s="2" customFormat="1" ht="40.5" customHeight="1" x14ac:dyDescent="0.25">
      <c r="A42" s="17"/>
      <c r="B42" s="18"/>
      <c r="C42" s="110" t="s">
        <v>60</v>
      </c>
      <c r="D42" s="113" t="s">
        <v>65</v>
      </c>
      <c r="E42" s="89">
        <v>97239.244000000006</v>
      </c>
      <c r="F42" s="111"/>
      <c r="G42" s="87">
        <f>SUM(G38:G41)</f>
        <v>248635.43438000005</v>
      </c>
      <c r="H42" s="87">
        <f t="shared" ref="H42" si="9">SUM(H38:H41)</f>
        <v>1958049.3700000006</v>
      </c>
      <c r="I42" s="87"/>
      <c r="J42" s="87"/>
      <c r="K42" s="87"/>
      <c r="L42" s="112"/>
      <c r="M42" s="112"/>
      <c r="N42" s="76"/>
      <c r="O42" s="76"/>
      <c r="P42" s="105">
        <v>769324.1</v>
      </c>
      <c r="Q42" s="76"/>
      <c r="R42" s="49"/>
      <c r="S42" s="50"/>
    </row>
    <row r="43" spans="1:19" s="2" customFormat="1" x14ac:dyDescent="0.25">
      <c r="A43" s="19"/>
      <c r="B43" s="20"/>
      <c r="C43" s="175" t="s">
        <v>60</v>
      </c>
      <c r="D43" s="99" t="s">
        <v>70</v>
      </c>
      <c r="E43" s="93">
        <v>3514.6849999999999</v>
      </c>
      <c r="F43" s="94">
        <v>5.91</v>
      </c>
      <c r="G43" s="94">
        <v>18849.740000000002</v>
      </c>
      <c r="H43" s="94">
        <v>127578.6</v>
      </c>
      <c r="I43" s="106"/>
      <c r="J43" s="94"/>
      <c r="K43" s="94"/>
      <c r="L43" s="176"/>
      <c r="M43" s="176"/>
      <c r="N43" s="73"/>
      <c r="O43" s="73"/>
      <c r="P43" s="106">
        <v>0</v>
      </c>
      <c r="Q43" s="73"/>
      <c r="R43" s="52"/>
      <c r="S43" s="47"/>
    </row>
    <row r="44" spans="1:19" s="2" customFormat="1" x14ac:dyDescent="0.25">
      <c r="A44" s="19"/>
      <c r="B44" s="20"/>
      <c r="C44" s="175" t="s">
        <v>27</v>
      </c>
      <c r="D44" s="99" t="s">
        <v>70</v>
      </c>
      <c r="E44" s="93">
        <v>214.9</v>
      </c>
      <c r="F44" s="94">
        <v>5.91</v>
      </c>
      <c r="G44" s="94">
        <f>SUM(E44*F44)</f>
        <v>1270.059</v>
      </c>
      <c r="H44" s="94">
        <f>SUM(E44*40)</f>
        <v>8596</v>
      </c>
      <c r="I44" s="94"/>
      <c r="J44" s="94"/>
      <c r="K44" s="94"/>
      <c r="L44" s="176"/>
      <c r="M44" s="176"/>
      <c r="N44" s="73"/>
      <c r="O44" s="73"/>
      <c r="P44" s="177"/>
      <c r="Q44" s="73"/>
      <c r="R44" s="52"/>
      <c r="S44" s="47"/>
    </row>
    <row r="45" spans="1:19" s="2" customFormat="1" ht="40.5" customHeight="1" x14ac:dyDescent="0.25">
      <c r="A45" s="17"/>
      <c r="B45" s="18"/>
      <c r="C45" s="110" t="s">
        <v>60</v>
      </c>
      <c r="D45" s="113" t="s">
        <v>69</v>
      </c>
      <c r="E45" s="89">
        <f>SUM(E42:E44)</f>
        <v>100968.829</v>
      </c>
      <c r="F45" s="89"/>
      <c r="G45" s="87">
        <f t="shared" ref="G45:H45" si="10">SUM(G42:G44)</f>
        <v>268755.23338000005</v>
      </c>
      <c r="H45" s="87">
        <f t="shared" si="10"/>
        <v>2094223.9700000007</v>
      </c>
      <c r="I45" s="87"/>
      <c r="J45" s="87"/>
      <c r="K45" s="87"/>
      <c r="L45" s="112"/>
      <c r="M45" s="112"/>
      <c r="N45" s="76"/>
      <c r="O45" s="76"/>
      <c r="P45" s="105">
        <v>769324.1</v>
      </c>
      <c r="Q45" s="76"/>
      <c r="R45" s="49"/>
      <c r="S45" s="50"/>
    </row>
    <row r="46" spans="1:19" s="2" customFormat="1" ht="14.25" customHeight="1" x14ac:dyDescent="0.25">
      <c r="A46" s="19"/>
      <c r="B46" s="20"/>
      <c r="C46" s="175" t="s">
        <v>60</v>
      </c>
      <c r="D46" s="190" t="s">
        <v>71</v>
      </c>
      <c r="E46" s="93">
        <v>2695.7669999999998</v>
      </c>
      <c r="F46" s="94">
        <v>5.91</v>
      </c>
      <c r="G46" s="94">
        <v>15227.24</v>
      </c>
      <c r="H46" s="94">
        <v>115943.58</v>
      </c>
      <c r="I46" s="94"/>
      <c r="J46" s="94"/>
      <c r="K46" s="94"/>
      <c r="L46" s="176"/>
      <c r="M46" s="176"/>
      <c r="N46" s="73"/>
      <c r="O46" s="73"/>
      <c r="P46" s="106">
        <v>0</v>
      </c>
      <c r="Q46" s="73"/>
      <c r="R46" s="52"/>
      <c r="S46" s="47"/>
    </row>
    <row r="47" spans="1:19" s="2" customFormat="1" ht="15.75" customHeight="1" x14ac:dyDescent="0.25">
      <c r="A47" s="19"/>
      <c r="B47" s="20"/>
      <c r="C47" s="175" t="s">
        <v>27</v>
      </c>
      <c r="D47" s="190" t="s">
        <v>71</v>
      </c>
      <c r="E47" s="93">
        <v>118.06</v>
      </c>
      <c r="F47" s="94">
        <v>5.91</v>
      </c>
      <c r="G47" s="94">
        <v>697.73400000000004</v>
      </c>
      <c r="H47" s="94">
        <v>5312.7</v>
      </c>
      <c r="I47" s="94"/>
      <c r="J47" s="94"/>
      <c r="K47" s="94"/>
      <c r="L47" s="176"/>
      <c r="M47" s="176"/>
      <c r="N47" s="73"/>
      <c r="O47" s="73"/>
      <c r="P47" s="106"/>
      <c r="Q47" s="73"/>
      <c r="R47" s="52"/>
      <c r="S47" s="47"/>
    </row>
    <row r="48" spans="1:19" s="2" customFormat="1" ht="43.5" customHeight="1" x14ac:dyDescent="0.25">
      <c r="A48" s="17"/>
      <c r="B48" s="18"/>
      <c r="C48" s="110" t="s">
        <v>60</v>
      </c>
      <c r="D48" s="113" t="s">
        <v>72</v>
      </c>
      <c r="E48" s="89">
        <f>SUM(E45:E47)</f>
        <v>103782.65599999999</v>
      </c>
      <c r="F48" s="89"/>
      <c r="G48" s="87">
        <f t="shared" ref="G48" si="11">SUM(G45:G47)</f>
        <v>284680.20738000004</v>
      </c>
      <c r="H48" s="87">
        <f>SUM(H45:H47)</f>
        <v>2215480.2500000009</v>
      </c>
      <c r="I48" s="87"/>
      <c r="J48" s="87"/>
      <c r="K48" s="87"/>
      <c r="L48" s="112"/>
      <c r="M48" s="112"/>
      <c r="N48" s="76"/>
      <c r="O48" s="76"/>
      <c r="P48" s="105">
        <v>769324.1</v>
      </c>
      <c r="Q48" s="76"/>
      <c r="R48" s="49"/>
      <c r="S48" s="50"/>
    </row>
    <row r="49" spans="1:19" s="2" customFormat="1" ht="18" customHeight="1" x14ac:dyDescent="0.25">
      <c r="A49" s="19"/>
      <c r="B49" s="20"/>
      <c r="C49" s="175" t="s">
        <v>60</v>
      </c>
      <c r="D49" s="190" t="s">
        <v>73</v>
      </c>
      <c r="E49" s="93">
        <v>3595.9180000000001</v>
      </c>
      <c r="F49" s="94">
        <v>5.91</v>
      </c>
      <c r="G49" s="94">
        <v>21049.77</v>
      </c>
      <c r="H49" s="94">
        <v>164351.93</v>
      </c>
      <c r="I49" s="94"/>
      <c r="J49" s="94"/>
      <c r="K49" s="94"/>
      <c r="L49" s="176"/>
      <c r="M49" s="176"/>
      <c r="N49" s="73"/>
      <c r="O49" s="73"/>
      <c r="P49" s="106">
        <v>121158</v>
      </c>
      <c r="Q49" s="73"/>
      <c r="R49" s="52"/>
      <c r="S49" s="47"/>
    </row>
    <row r="50" spans="1:19" s="2" customFormat="1" ht="17.25" customHeight="1" x14ac:dyDescent="0.25">
      <c r="A50" s="19"/>
      <c r="B50" s="20"/>
      <c r="C50" s="175" t="s">
        <v>27</v>
      </c>
      <c r="D50" s="190" t="s">
        <v>73</v>
      </c>
      <c r="E50" s="93">
        <v>148.76</v>
      </c>
      <c r="F50" s="94">
        <v>5.91</v>
      </c>
      <c r="G50" s="94">
        <f>E50*F50</f>
        <v>879.17160000000001</v>
      </c>
      <c r="H50" s="94">
        <f>E50*45</f>
        <v>6694.2</v>
      </c>
      <c r="I50" s="94"/>
      <c r="J50" s="94"/>
      <c r="K50" s="94"/>
      <c r="L50" s="176"/>
      <c r="M50" s="176"/>
      <c r="N50" s="73"/>
      <c r="O50" s="73"/>
      <c r="P50" s="106">
        <v>0</v>
      </c>
      <c r="Q50" s="73"/>
      <c r="R50" s="52"/>
      <c r="S50" s="47"/>
    </row>
    <row r="51" spans="1:19" s="2" customFormat="1" ht="43.5" customHeight="1" x14ac:dyDescent="0.25">
      <c r="A51" s="17"/>
      <c r="B51" s="18"/>
      <c r="C51" s="110" t="s">
        <v>60</v>
      </c>
      <c r="D51" s="113" t="s">
        <v>74</v>
      </c>
      <c r="E51" s="89">
        <f>SUM(E48:E50)</f>
        <v>107527.33399999999</v>
      </c>
      <c r="F51" s="89"/>
      <c r="G51" s="87">
        <f t="shared" ref="G51:H51" si="12">SUM(G48:G50)</f>
        <v>306609.14898000006</v>
      </c>
      <c r="H51" s="87">
        <f t="shared" si="12"/>
        <v>2386526.3800000013</v>
      </c>
      <c r="I51" s="87"/>
      <c r="J51" s="87"/>
      <c r="K51" s="87"/>
      <c r="L51" s="112"/>
      <c r="M51" s="112"/>
      <c r="N51" s="76"/>
      <c r="O51" s="76"/>
      <c r="P51" s="105">
        <f>SUM(P48:P50)</f>
        <v>890482.1</v>
      </c>
      <c r="Q51" s="76"/>
      <c r="R51" s="49"/>
      <c r="S51" s="50"/>
    </row>
    <row r="52" spans="1:19" s="2" customFormat="1" ht="18.75" customHeight="1" x14ac:dyDescent="0.25">
      <c r="A52" s="19"/>
      <c r="B52" s="20"/>
      <c r="C52" s="175" t="s">
        <v>60</v>
      </c>
      <c r="D52" s="99" t="s">
        <v>76</v>
      </c>
      <c r="E52" s="93">
        <v>3783.8969999999999</v>
      </c>
      <c r="F52" s="94">
        <v>5.91</v>
      </c>
      <c r="G52" s="94">
        <f>E52*F52</f>
        <v>22362.831269999999</v>
      </c>
      <c r="H52" s="94">
        <f>E52*45</f>
        <v>170275.36499999999</v>
      </c>
      <c r="I52" s="94"/>
      <c r="J52" s="94"/>
      <c r="K52" s="94"/>
      <c r="L52" s="176"/>
      <c r="M52" s="176"/>
      <c r="N52" s="73"/>
      <c r="O52" s="73"/>
      <c r="P52" s="106">
        <v>0</v>
      </c>
      <c r="Q52" s="73"/>
      <c r="R52" s="52"/>
      <c r="S52" s="47"/>
    </row>
    <row r="53" spans="1:19" s="2" customFormat="1" ht="21.75" customHeight="1" x14ac:dyDescent="0.25">
      <c r="A53" s="19"/>
      <c r="B53" s="20"/>
      <c r="C53" s="175" t="s">
        <v>27</v>
      </c>
      <c r="D53" s="99" t="s">
        <v>76</v>
      </c>
      <c r="E53" s="93">
        <v>162.16</v>
      </c>
      <c r="F53" s="94">
        <v>5.91</v>
      </c>
      <c r="G53" s="94">
        <f t="shared" ref="G53" si="13">E53*F53</f>
        <v>958.36559999999997</v>
      </c>
      <c r="H53" s="94">
        <f t="shared" ref="H53" si="14">E53*45</f>
        <v>7297.2</v>
      </c>
      <c r="I53" s="94"/>
      <c r="J53" s="94"/>
      <c r="K53" s="94"/>
      <c r="L53" s="176"/>
      <c r="M53" s="176"/>
      <c r="N53" s="73"/>
      <c r="O53" s="73"/>
      <c r="P53" s="106"/>
      <c r="Q53" s="73"/>
      <c r="R53" s="52"/>
      <c r="S53" s="47"/>
    </row>
    <row r="54" spans="1:19" s="2" customFormat="1" ht="43.5" customHeight="1" x14ac:dyDescent="0.25">
      <c r="A54" s="19"/>
      <c r="B54" s="20"/>
      <c r="C54" s="175" t="s">
        <v>37</v>
      </c>
      <c r="D54" s="190"/>
      <c r="E54" s="93">
        <v>88.7</v>
      </c>
      <c r="F54" s="94">
        <v>0</v>
      </c>
      <c r="G54" s="94">
        <v>0</v>
      </c>
      <c r="H54" s="94">
        <v>0</v>
      </c>
      <c r="I54" s="94"/>
      <c r="J54" s="94"/>
      <c r="K54" s="94"/>
      <c r="L54" s="176"/>
      <c r="M54" s="176"/>
      <c r="N54" s="73"/>
      <c r="O54" s="73"/>
      <c r="P54" s="106"/>
      <c r="Q54" s="73"/>
      <c r="R54" s="52"/>
      <c r="S54" s="47"/>
    </row>
    <row r="55" spans="1:19" s="2" customFormat="1" ht="43.5" customHeight="1" x14ac:dyDescent="0.25">
      <c r="A55" s="17"/>
      <c r="B55" s="18"/>
      <c r="C55" s="110" t="s">
        <v>60</v>
      </c>
      <c r="D55" s="113" t="s">
        <v>77</v>
      </c>
      <c r="E55" s="89">
        <f>SUM(E51:E54)</f>
        <v>111562.09099999999</v>
      </c>
      <c r="F55" s="89"/>
      <c r="G55" s="87">
        <f>SUM(G51:G54)</f>
        <v>329930.3458500001</v>
      </c>
      <c r="H55" s="87">
        <f>SUM(H51:H54)</f>
        <v>2564098.9450000012</v>
      </c>
      <c r="I55" s="87"/>
      <c r="J55" s="87"/>
      <c r="K55" s="87"/>
      <c r="L55" s="112"/>
      <c r="M55" s="112"/>
      <c r="N55" s="76"/>
      <c r="O55" s="76"/>
      <c r="P55" s="105">
        <f>SUM(P51:P54)</f>
        <v>890482.1</v>
      </c>
      <c r="Q55" s="76"/>
      <c r="R55" s="49"/>
      <c r="S55" s="50"/>
    </row>
    <row r="56" spans="1:19" s="2" customFormat="1" ht="21.75" customHeight="1" x14ac:dyDescent="0.25">
      <c r="A56" s="19"/>
      <c r="B56" s="20"/>
      <c r="C56" s="175" t="s">
        <v>60</v>
      </c>
      <c r="D56" s="99" t="s">
        <v>78</v>
      </c>
      <c r="E56" s="93">
        <v>3029.567</v>
      </c>
      <c r="F56" s="94">
        <v>5.91</v>
      </c>
      <c r="G56" s="94">
        <f>E56*F56</f>
        <v>17904.740969999999</v>
      </c>
      <c r="H56" s="94">
        <f>E56*45</f>
        <v>136330.51500000001</v>
      </c>
      <c r="I56" s="94"/>
      <c r="J56" s="94"/>
      <c r="K56" s="94"/>
      <c r="L56" s="176"/>
      <c r="M56" s="176"/>
      <c r="N56" s="73"/>
      <c r="O56" s="73"/>
      <c r="P56" s="106">
        <v>15000</v>
      </c>
      <c r="Q56" s="73"/>
      <c r="R56" s="52"/>
      <c r="S56" s="47"/>
    </row>
    <row r="57" spans="1:19" s="2" customFormat="1" ht="22.5" customHeight="1" x14ac:dyDescent="0.25">
      <c r="A57" s="19"/>
      <c r="B57" s="20"/>
      <c r="C57" s="175" t="s">
        <v>27</v>
      </c>
      <c r="D57" s="99" t="s">
        <v>78</v>
      </c>
      <c r="E57" s="93">
        <v>184.92</v>
      </c>
      <c r="F57" s="94">
        <v>5.91</v>
      </c>
      <c r="G57" s="94">
        <f>E57*F57</f>
        <v>1092.8771999999999</v>
      </c>
      <c r="H57" s="94">
        <f>E57*45</f>
        <v>8321.4</v>
      </c>
      <c r="I57" s="94"/>
      <c r="J57" s="94"/>
      <c r="K57" s="94"/>
      <c r="L57" s="176"/>
      <c r="M57" s="176"/>
      <c r="N57" s="73"/>
      <c r="O57" s="73"/>
      <c r="P57" s="106"/>
      <c r="Q57" s="73"/>
      <c r="R57" s="52"/>
      <c r="S57" s="47"/>
    </row>
    <row r="58" spans="1:19" s="2" customFormat="1" ht="43.5" customHeight="1" x14ac:dyDescent="0.25">
      <c r="A58" s="17"/>
      <c r="B58" s="18"/>
      <c r="C58" s="110" t="s">
        <v>60</v>
      </c>
      <c r="D58" s="113" t="s">
        <v>79</v>
      </c>
      <c r="E58" s="89">
        <f>SUM(E55:E57)</f>
        <v>114776.57799999998</v>
      </c>
      <c r="F58" s="89"/>
      <c r="G58" s="87">
        <f t="shared" ref="G58:H58" si="15">SUM(G55:G57)</f>
        <v>348927.96402000007</v>
      </c>
      <c r="H58" s="87">
        <f t="shared" si="15"/>
        <v>2708750.8600000013</v>
      </c>
      <c r="I58" s="87"/>
      <c r="J58" s="87"/>
      <c r="K58" s="87"/>
      <c r="L58" s="87"/>
      <c r="M58" s="87"/>
      <c r="N58" s="87"/>
      <c r="O58" s="87"/>
      <c r="P58" s="87">
        <f t="shared" ref="P58" si="16">SUM(P55:P57)</f>
        <v>905482.1</v>
      </c>
      <c r="Q58" s="76"/>
      <c r="R58" s="49"/>
      <c r="S58" s="50"/>
    </row>
    <row r="59" spans="1:19" s="2" customFormat="1" ht="25.5" customHeight="1" x14ac:dyDescent="0.25">
      <c r="A59" s="19"/>
      <c r="B59" s="20"/>
      <c r="C59" s="175" t="s">
        <v>60</v>
      </c>
      <c r="D59" s="99" t="s">
        <v>82</v>
      </c>
      <c r="E59" s="93">
        <v>2764.011</v>
      </c>
      <c r="F59" s="94">
        <v>5.91</v>
      </c>
      <c r="G59" s="94">
        <f>E59*F59</f>
        <v>16335.30501</v>
      </c>
      <c r="H59" s="94">
        <f>E59*57</f>
        <v>157548.62700000001</v>
      </c>
      <c r="I59" s="94"/>
      <c r="J59" s="94"/>
      <c r="K59" s="94"/>
      <c r="L59" s="94"/>
      <c r="M59" s="94"/>
      <c r="N59" s="94"/>
      <c r="O59" s="94"/>
      <c r="P59" s="94">
        <v>297332.40000000002</v>
      </c>
      <c r="Q59" s="73"/>
      <c r="R59" s="52"/>
      <c r="S59" s="47"/>
    </row>
    <row r="60" spans="1:19" s="2" customFormat="1" ht="26.25" customHeight="1" x14ac:dyDescent="0.25">
      <c r="A60" s="19"/>
      <c r="B60" s="20"/>
      <c r="C60" s="175" t="s">
        <v>27</v>
      </c>
      <c r="D60" s="99" t="s">
        <v>82</v>
      </c>
      <c r="E60" s="93">
        <v>108.92</v>
      </c>
      <c r="F60" s="94">
        <v>5.91</v>
      </c>
      <c r="G60" s="94">
        <f>E60*F60</f>
        <v>643.71720000000005</v>
      </c>
      <c r="H60" s="94">
        <f>E60*57</f>
        <v>6208.4400000000005</v>
      </c>
      <c r="I60" s="94"/>
      <c r="J60" s="94"/>
      <c r="K60" s="94"/>
      <c r="L60" s="94"/>
      <c r="M60" s="94"/>
      <c r="N60" s="94"/>
      <c r="O60" s="94"/>
      <c r="P60" s="94"/>
      <c r="Q60" s="73"/>
      <c r="R60" s="52"/>
      <c r="S60" s="47"/>
    </row>
    <row r="61" spans="1:19" s="2" customFormat="1" ht="43.5" customHeight="1" x14ac:dyDescent="0.25">
      <c r="A61" s="17"/>
      <c r="B61" s="18"/>
      <c r="C61" s="110" t="s">
        <v>60</v>
      </c>
      <c r="D61" s="113" t="s">
        <v>81</v>
      </c>
      <c r="E61" s="89">
        <f>SUM(E58:E60)</f>
        <v>117649.50899999998</v>
      </c>
      <c r="F61" s="89"/>
      <c r="G61" s="87">
        <f>SUM(G58:G60)</f>
        <v>365906.9862300001</v>
      </c>
      <c r="H61" s="87">
        <f t="shared" ref="H61" si="17">SUM(H58:H60)</f>
        <v>2872507.9270000011</v>
      </c>
      <c r="I61" s="87"/>
      <c r="J61" s="87"/>
      <c r="K61" s="87"/>
      <c r="L61" s="87"/>
      <c r="M61" s="87"/>
      <c r="N61" s="87"/>
      <c r="O61" s="87"/>
      <c r="P61" s="87">
        <f>SUM(P58:P60)</f>
        <v>1202814.5</v>
      </c>
      <c r="Q61" s="87"/>
      <c r="R61" s="49"/>
      <c r="S61" s="50"/>
    </row>
    <row r="62" spans="1:19" s="2" customFormat="1" ht="27.75" customHeight="1" x14ac:dyDescent="0.25">
      <c r="A62" s="19"/>
      <c r="B62" s="20"/>
      <c r="C62" s="175" t="s">
        <v>60</v>
      </c>
      <c r="D62" s="99" t="s">
        <v>84</v>
      </c>
      <c r="E62" s="93">
        <v>3070.7260000000001</v>
      </c>
      <c r="F62" s="94">
        <v>5.91</v>
      </c>
      <c r="G62" s="94">
        <f>E62*F62</f>
        <v>18147.990659999999</v>
      </c>
      <c r="H62" s="94">
        <f>E62*57</f>
        <v>175031.38200000001</v>
      </c>
      <c r="I62" s="94"/>
      <c r="J62" s="94"/>
      <c r="K62" s="94"/>
      <c r="L62" s="94"/>
      <c r="M62" s="94"/>
      <c r="N62" s="94"/>
      <c r="O62" s="94"/>
      <c r="P62" s="94">
        <v>35640</v>
      </c>
      <c r="Q62" s="94"/>
      <c r="R62" s="52"/>
      <c r="S62" s="47"/>
    </row>
    <row r="63" spans="1:19" s="2" customFormat="1" ht="26.25" customHeight="1" x14ac:dyDescent="0.25">
      <c r="A63" s="19"/>
      <c r="B63" s="20"/>
      <c r="C63" s="175" t="s">
        <v>27</v>
      </c>
      <c r="D63" s="99" t="s">
        <v>85</v>
      </c>
      <c r="E63" s="93">
        <v>117.6</v>
      </c>
      <c r="F63" s="94">
        <v>5.91</v>
      </c>
      <c r="G63" s="94">
        <f>E63*F63</f>
        <v>695.01599999999996</v>
      </c>
      <c r="H63" s="94">
        <f>E63*57</f>
        <v>6703.2</v>
      </c>
      <c r="I63" s="94"/>
      <c r="J63" s="94"/>
      <c r="K63" s="94"/>
      <c r="L63" s="94"/>
      <c r="M63" s="94"/>
      <c r="N63" s="94"/>
      <c r="O63" s="94"/>
      <c r="P63" s="94"/>
      <c r="Q63" s="94"/>
      <c r="R63" s="52"/>
      <c r="S63" s="47"/>
    </row>
    <row r="64" spans="1:19" s="2" customFormat="1" ht="26.25" customHeight="1" x14ac:dyDescent="0.25">
      <c r="A64" s="19"/>
      <c r="B64" s="20"/>
      <c r="C64" s="175" t="s">
        <v>87</v>
      </c>
      <c r="D64" s="99"/>
      <c r="E64" s="93">
        <v>45.96</v>
      </c>
      <c r="F64" s="94"/>
      <c r="G64" s="94">
        <f>45.96*5.91</f>
        <v>271.62360000000001</v>
      </c>
      <c r="H64" s="94">
        <f>45.96*57</f>
        <v>2619.7200000000003</v>
      </c>
      <c r="I64" s="94"/>
      <c r="J64" s="94"/>
      <c r="K64" s="94"/>
      <c r="L64" s="94"/>
      <c r="M64" s="94"/>
      <c r="N64" s="94"/>
      <c r="O64" s="94"/>
      <c r="P64" s="94"/>
      <c r="Q64" s="94"/>
      <c r="R64" s="52"/>
      <c r="S64" s="47"/>
    </row>
    <row r="65" spans="1:19" s="2" customFormat="1" ht="26.25" customHeight="1" x14ac:dyDescent="0.25">
      <c r="A65" s="19"/>
      <c r="B65" s="20"/>
      <c r="C65" s="175" t="s">
        <v>60</v>
      </c>
      <c r="D65" s="99"/>
      <c r="E65" s="93"/>
      <c r="F65" s="94"/>
      <c r="G65" s="94"/>
      <c r="H65" s="94">
        <v>108119.56</v>
      </c>
      <c r="I65" s="94"/>
      <c r="J65" s="94"/>
      <c r="K65" s="94"/>
      <c r="L65" s="94"/>
      <c r="M65" s="94"/>
      <c r="N65" s="94"/>
      <c r="O65" s="94"/>
      <c r="P65" s="94"/>
      <c r="Q65" s="94"/>
      <c r="R65" s="52"/>
      <c r="S65" s="212" t="s">
        <v>88</v>
      </c>
    </row>
    <row r="66" spans="1:19" s="2" customFormat="1" ht="43.5" customHeight="1" x14ac:dyDescent="0.25">
      <c r="A66" s="17"/>
      <c r="B66" s="18"/>
      <c r="C66" s="110" t="s">
        <v>60</v>
      </c>
      <c r="D66" s="113" t="s">
        <v>86</v>
      </c>
      <c r="E66" s="89">
        <f>SUM(E61:E64)</f>
        <v>120883.79499999998</v>
      </c>
      <c r="F66" s="89"/>
      <c r="G66" s="87">
        <v>385021.62</v>
      </c>
      <c r="H66" s="87">
        <f>SUM(H61:H65)</f>
        <v>3164981.7890000017</v>
      </c>
      <c r="I66" s="87"/>
      <c r="J66" s="87"/>
      <c r="K66" s="87"/>
      <c r="L66" s="87"/>
      <c r="M66" s="87"/>
      <c r="N66" s="87"/>
      <c r="O66" s="87"/>
      <c r="P66" s="87">
        <f>SUM(P61:P62)</f>
        <v>1238454.5</v>
      </c>
      <c r="Q66" s="87"/>
      <c r="R66" s="49"/>
      <c r="S66" s="50"/>
    </row>
    <row r="67" spans="1:19" s="2" customFormat="1" ht="29.25" customHeight="1" x14ac:dyDescent="0.25">
      <c r="A67" s="19"/>
      <c r="B67" s="20"/>
      <c r="C67" s="175" t="s">
        <v>60</v>
      </c>
      <c r="D67" s="99" t="s">
        <v>89</v>
      </c>
      <c r="E67" s="93">
        <v>3693.1680000000001</v>
      </c>
      <c r="F67" s="94">
        <v>5.91</v>
      </c>
      <c r="G67" s="94">
        <f>E67*F67</f>
        <v>21826.622880000003</v>
      </c>
      <c r="H67" s="94">
        <f>E67*57</f>
        <v>210510.576</v>
      </c>
      <c r="I67" s="94"/>
      <c r="J67" s="94"/>
      <c r="K67" s="94"/>
      <c r="L67" s="94"/>
      <c r="M67" s="94"/>
      <c r="N67" s="94"/>
      <c r="O67" s="94"/>
      <c r="P67" s="94">
        <v>323328.59999999998</v>
      </c>
      <c r="Q67" s="94"/>
      <c r="R67" s="52"/>
      <c r="S67" s="47"/>
    </row>
    <row r="68" spans="1:19" s="2" customFormat="1" ht="27.75" customHeight="1" x14ac:dyDescent="0.25">
      <c r="A68" s="19"/>
      <c r="B68" s="20"/>
      <c r="C68" s="175" t="s">
        <v>27</v>
      </c>
      <c r="D68" s="99" t="s">
        <v>89</v>
      </c>
      <c r="E68" s="93">
        <v>215.94</v>
      </c>
      <c r="F68" s="94">
        <v>5.91</v>
      </c>
      <c r="G68" s="94">
        <f>E68*F68</f>
        <v>1276.2054000000001</v>
      </c>
      <c r="H68" s="94">
        <f>E68*57</f>
        <v>12308.58</v>
      </c>
      <c r="I68" s="94"/>
      <c r="J68" s="94"/>
      <c r="K68" s="94"/>
      <c r="L68" s="94"/>
      <c r="M68" s="94"/>
      <c r="N68" s="94"/>
      <c r="O68" s="94"/>
      <c r="P68" s="94"/>
      <c r="Q68" s="94"/>
      <c r="R68" s="52"/>
      <c r="S68" s="47"/>
    </row>
    <row r="69" spans="1:19" s="2" customFormat="1" ht="43.5" customHeight="1" x14ac:dyDescent="0.25">
      <c r="A69" s="19"/>
      <c r="B69" s="20"/>
      <c r="C69" s="175" t="s">
        <v>37</v>
      </c>
      <c r="D69" s="216"/>
      <c r="E69" s="93">
        <v>88.7</v>
      </c>
      <c r="F69" s="93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52"/>
      <c r="S69" s="47"/>
    </row>
    <row r="70" spans="1:19" s="2" customFormat="1" ht="43.5" customHeight="1" x14ac:dyDescent="0.25">
      <c r="A70" s="17"/>
      <c r="B70" s="18"/>
      <c r="C70" s="110" t="s">
        <v>60</v>
      </c>
      <c r="D70" s="113" t="s">
        <v>90</v>
      </c>
      <c r="E70" s="89">
        <f>SUM(E66:E69)</f>
        <v>124881.60299999999</v>
      </c>
      <c r="F70" s="89"/>
      <c r="G70" s="87">
        <f t="shared" ref="G70:P70" si="18">SUM(G66:G69)</f>
        <v>408124.44827999995</v>
      </c>
      <c r="H70" s="87">
        <f t="shared" si="18"/>
        <v>3387800.9450000017</v>
      </c>
      <c r="I70" s="87"/>
      <c r="J70" s="87"/>
      <c r="K70" s="87"/>
      <c r="L70" s="87"/>
      <c r="M70" s="87"/>
      <c r="N70" s="87"/>
      <c r="O70" s="87"/>
      <c r="P70" s="87">
        <f t="shared" si="18"/>
        <v>1561783.1</v>
      </c>
      <c r="Q70" s="87"/>
      <c r="R70" s="49"/>
      <c r="S70" s="50"/>
    </row>
    <row r="71" spans="1:19" s="2" customFormat="1" ht="28.5" customHeight="1" x14ac:dyDescent="0.25">
      <c r="A71" s="19"/>
      <c r="B71" s="20"/>
      <c r="C71" s="175" t="s">
        <v>60</v>
      </c>
      <c r="D71" s="99" t="s">
        <v>93</v>
      </c>
      <c r="E71" s="93">
        <v>3640.3119999999999</v>
      </c>
      <c r="F71" s="94">
        <v>5.91</v>
      </c>
      <c r="G71" s="94">
        <f>E71*F71</f>
        <v>21514.243920000001</v>
      </c>
      <c r="H71" s="94">
        <f>E71*57</f>
        <v>207497.78399999999</v>
      </c>
      <c r="I71" s="94"/>
      <c r="J71" s="94"/>
      <c r="K71" s="94"/>
      <c r="L71" s="94"/>
      <c r="M71" s="94"/>
      <c r="N71" s="94"/>
      <c r="O71" s="94"/>
      <c r="P71" s="94">
        <v>250000</v>
      </c>
      <c r="Q71" s="94"/>
      <c r="R71" s="52"/>
      <c r="S71" s="47"/>
    </row>
    <row r="72" spans="1:19" s="2" customFormat="1" ht="30.75" customHeight="1" x14ac:dyDescent="0.25">
      <c r="A72" s="19"/>
      <c r="B72" s="20"/>
      <c r="C72" s="175" t="s">
        <v>27</v>
      </c>
      <c r="D72" s="99" t="s">
        <v>93</v>
      </c>
      <c r="E72" s="93">
        <v>195.68</v>
      </c>
      <c r="F72" s="94">
        <v>5.91</v>
      </c>
      <c r="G72" s="94">
        <f>E72*F72</f>
        <v>1156.4688000000001</v>
      </c>
      <c r="H72" s="94">
        <f>E72*57</f>
        <v>11153.76</v>
      </c>
      <c r="I72" s="94"/>
      <c r="J72" s="94"/>
      <c r="K72" s="94"/>
      <c r="L72" s="94"/>
      <c r="M72" s="94"/>
      <c r="N72" s="94"/>
      <c r="O72" s="94"/>
      <c r="P72" s="94"/>
      <c r="Q72" s="94"/>
      <c r="R72" s="52"/>
      <c r="S72" s="47"/>
    </row>
    <row r="73" spans="1:19" s="2" customFormat="1" ht="43.5" customHeight="1" x14ac:dyDescent="0.25">
      <c r="A73" s="17"/>
      <c r="B73" s="18"/>
      <c r="C73" s="110" t="s">
        <v>60</v>
      </c>
      <c r="D73" s="113" t="s">
        <v>94</v>
      </c>
      <c r="E73" s="89">
        <f>SUM(E70:E72)</f>
        <v>128717.59499999999</v>
      </c>
      <c r="F73" s="89"/>
      <c r="G73" s="87">
        <f t="shared" ref="G73:H73" si="19">SUM(G70:G72)</f>
        <v>430795.16099999991</v>
      </c>
      <c r="H73" s="87">
        <f t="shared" si="19"/>
        <v>3606452.4890000015</v>
      </c>
      <c r="I73" s="87"/>
      <c r="J73" s="87"/>
      <c r="K73" s="87"/>
      <c r="L73" s="87"/>
      <c r="M73" s="87"/>
      <c r="N73" s="87"/>
      <c r="O73" s="87"/>
      <c r="P73" s="87">
        <f t="shared" ref="P73" si="20">SUM(P70:P72)</f>
        <v>1811783.1</v>
      </c>
      <c r="Q73" s="87"/>
      <c r="R73" s="49"/>
      <c r="S73" s="50"/>
    </row>
    <row r="74" spans="1:19" s="2" customFormat="1" ht="126.75" customHeight="1" x14ac:dyDescent="0.25">
      <c r="A74" s="19"/>
      <c r="B74" s="20"/>
      <c r="C74" s="175" t="s">
        <v>60</v>
      </c>
      <c r="D74" s="99" t="s">
        <v>96</v>
      </c>
      <c r="E74" s="93">
        <v>3060.5039999999999</v>
      </c>
      <c r="F74" s="94">
        <v>5.91</v>
      </c>
      <c r="G74" s="94">
        <f>E74*F74</f>
        <v>18087.57864</v>
      </c>
      <c r="H74" s="94">
        <v>282216.53000000003</v>
      </c>
      <c r="I74" s="94"/>
      <c r="J74" s="94"/>
      <c r="K74" s="94"/>
      <c r="L74" s="94"/>
      <c r="M74" s="94"/>
      <c r="N74" s="94"/>
      <c r="O74" s="94"/>
      <c r="P74" s="94">
        <v>0</v>
      </c>
      <c r="Q74" s="94"/>
      <c r="R74" s="52"/>
      <c r="S74" s="218" t="s">
        <v>107</v>
      </c>
    </row>
    <row r="75" spans="1:19" s="2" customFormat="1" ht="128.25" customHeight="1" x14ac:dyDescent="0.25">
      <c r="A75" s="19"/>
      <c r="B75" s="20"/>
      <c r="C75" s="175" t="s">
        <v>27</v>
      </c>
      <c r="D75" s="99" t="s">
        <v>96</v>
      </c>
      <c r="E75" s="93">
        <v>226.62</v>
      </c>
      <c r="F75" s="94">
        <v>5.91</v>
      </c>
      <c r="G75" s="94">
        <f>E75*F75</f>
        <v>1339.3242</v>
      </c>
      <c r="H75" s="94">
        <v>21326.62</v>
      </c>
      <c r="I75" s="94"/>
      <c r="J75" s="94"/>
      <c r="K75" s="94"/>
      <c r="L75" s="94"/>
      <c r="M75" s="94"/>
      <c r="N75" s="94"/>
      <c r="O75" s="94"/>
      <c r="P75" s="94"/>
      <c r="Q75" s="94"/>
      <c r="R75" s="52"/>
      <c r="S75" s="218" t="s">
        <v>108</v>
      </c>
    </row>
    <row r="76" spans="1:19" s="2" customFormat="1" ht="43.5" customHeight="1" x14ac:dyDescent="0.25">
      <c r="A76" s="17"/>
      <c r="B76" s="18"/>
      <c r="C76" s="110" t="s">
        <v>60</v>
      </c>
      <c r="D76" s="113" t="s">
        <v>97</v>
      </c>
      <c r="E76" s="89">
        <f>SUM(E73:E75)</f>
        <v>132004.71899999998</v>
      </c>
      <c r="F76" s="89"/>
      <c r="G76" s="87">
        <f t="shared" ref="G76:H76" si="21">SUM(G73:G75)</f>
        <v>450222.0638399999</v>
      </c>
      <c r="H76" s="87">
        <f t="shared" si="21"/>
        <v>3909995.6390000014</v>
      </c>
      <c r="I76" s="87"/>
      <c r="J76" s="87"/>
      <c r="K76" s="87"/>
      <c r="L76" s="87"/>
      <c r="M76" s="87"/>
      <c r="N76" s="87"/>
      <c r="O76" s="87"/>
      <c r="P76" s="87">
        <v>1811783.1</v>
      </c>
      <c r="Q76" s="87"/>
      <c r="R76" s="49"/>
      <c r="S76" s="50"/>
    </row>
    <row r="77" spans="1:19" s="2" customFormat="1" ht="32.25" customHeight="1" x14ac:dyDescent="0.25">
      <c r="A77" s="19"/>
      <c r="B77" s="20"/>
      <c r="C77" s="102" t="s">
        <v>60</v>
      </c>
      <c r="D77" s="222" t="s">
        <v>119</v>
      </c>
      <c r="E77" s="93">
        <v>3578.19</v>
      </c>
      <c r="F77" s="94">
        <v>5.91</v>
      </c>
      <c r="G77" s="94">
        <f>E77*F77</f>
        <v>21147.102900000002</v>
      </c>
      <c r="H77" s="94">
        <f>E77*69</f>
        <v>246895.11000000002</v>
      </c>
      <c r="I77" s="94"/>
      <c r="J77" s="94"/>
      <c r="K77" s="94"/>
      <c r="L77" s="94"/>
      <c r="M77" s="94"/>
      <c r="N77" s="94"/>
      <c r="O77" s="94"/>
      <c r="P77" s="94">
        <v>167115.75</v>
      </c>
      <c r="Q77" s="94"/>
      <c r="R77" s="52"/>
      <c r="S77" s="47"/>
    </row>
    <row r="78" spans="1:19" s="2" customFormat="1" ht="30" customHeight="1" x14ac:dyDescent="0.25">
      <c r="A78" s="19"/>
      <c r="B78" s="20"/>
      <c r="C78" s="102" t="s">
        <v>27</v>
      </c>
      <c r="D78" s="222" t="s">
        <v>119</v>
      </c>
      <c r="E78" s="93">
        <v>232.78</v>
      </c>
      <c r="F78" s="94">
        <v>5.91</v>
      </c>
      <c r="G78" s="94">
        <f>E78*F78</f>
        <v>1375.7298000000001</v>
      </c>
      <c r="H78" s="94">
        <f>E78*69</f>
        <v>16061.82</v>
      </c>
      <c r="I78" s="94"/>
      <c r="J78" s="94"/>
      <c r="K78" s="94"/>
      <c r="L78" s="94"/>
      <c r="M78" s="94"/>
      <c r="N78" s="94"/>
      <c r="O78" s="94"/>
      <c r="P78" s="94"/>
      <c r="Q78" s="94"/>
      <c r="R78" s="52"/>
      <c r="S78" s="47"/>
    </row>
    <row r="79" spans="1:19" s="2" customFormat="1" ht="30" customHeight="1" x14ac:dyDescent="0.25">
      <c r="A79" s="19"/>
      <c r="B79" s="20"/>
      <c r="C79" s="102" t="s">
        <v>60</v>
      </c>
      <c r="D79" s="222"/>
      <c r="E79" s="93"/>
      <c r="F79" s="94"/>
      <c r="G79" s="94"/>
      <c r="H79" s="94">
        <v>283211.76</v>
      </c>
      <c r="I79" s="94"/>
      <c r="J79" s="94"/>
      <c r="K79" s="94"/>
      <c r="L79" s="94"/>
      <c r="M79" s="94"/>
      <c r="N79" s="94"/>
      <c r="O79" s="94"/>
      <c r="P79" s="94"/>
      <c r="Q79" s="94"/>
      <c r="R79" s="52"/>
      <c r="S79" s="227" t="s">
        <v>130</v>
      </c>
    </row>
    <row r="80" spans="1:19" s="2" customFormat="1" ht="43.5" customHeight="1" x14ac:dyDescent="0.25">
      <c r="A80" s="17"/>
      <c r="B80" s="18"/>
      <c r="C80" s="110" t="s">
        <v>60</v>
      </c>
      <c r="D80" s="113" t="s">
        <v>120</v>
      </c>
      <c r="E80" s="89">
        <f>SUM(E76:E79)</f>
        <v>135815.68899999998</v>
      </c>
      <c r="F80" s="89"/>
      <c r="G80" s="87">
        <f t="shared" ref="G80:P80" si="22">SUM(G76:G79)</f>
        <v>472744.89653999987</v>
      </c>
      <c r="H80" s="87">
        <f t="shared" si="22"/>
        <v>4456164.3290000008</v>
      </c>
      <c r="I80" s="87"/>
      <c r="J80" s="87"/>
      <c r="K80" s="87"/>
      <c r="L80" s="87"/>
      <c r="M80" s="87"/>
      <c r="N80" s="87"/>
      <c r="O80" s="87"/>
      <c r="P80" s="87">
        <f t="shared" si="22"/>
        <v>1978898.85</v>
      </c>
      <c r="Q80" s="87"/>
      <c r="R80" s="49"/>
      <c r="S80" s="50"/>
    </row>
    <row r="81" spans="1:19" s="2" customFormat="1" ht="43.5" customHeight="1" x14ac:dyDescent="0.25">
      <c r="A81" s="19"/>
      <c r="B81" s="20"/>
      <c r="C81" s="175" t="s">
        <v>60</v>
      </c>
      <c r="D81" s="222" t="s">
        <v>139</v>
      </c>
      <c r="E81" s="93">
        <v>3922.4169999999999</v>
      </c>
      <c r="F81" s="94">
        <v>5.91</v>
      </c>
      <c r="G81" s="94">
        <f>SUM(E81*F81)</f>
        <v>23181.484469999999</v>
      </c>
      <c r="H81" s="94">
        <f>SUM(E81*69)</f>
        <v>270646.77299999999</v>
      </c>
      <c r="I81" s="94"/>
      <c r="J81" s="94"/>
      <c r="K81" s="94"/>
      <c r="L81" s="94"/>
      <c r="M81" s="94"/>
      <c r="N81" s="94"/>
      <c r="O81" s="94"/>
      <c r="P81" s="94">
        <v>294742.28999999998</v>
      </c>
      <c r="Q81" s="94"/>
      <c r="R81" s="52"/>
      <c r="S81" s="47"/>
    </row>
    <row r="82" spans="1:19" s="2" customFormat="1" ht="43.5" customHeight="1" x14ac:dyDescent="0.25">
      <c r="A82" s="19"/>
      <c r="B82" s="20"/>
      <c r="C82" s="175" t="s">
        <v>27</v>
      </c>
      <c r="D82" s="222" t="s">
        <v>139</v>
      </c>
      <c r="E82" s="93">
        <v>166.78</v>
      </c>
      <c r="F82" s="94">
        <v>5.91</v>
      </c>
      <c r="G82" s="94">
        <f>SUM(E82*F82)</f>
        <v>985.66980000000001</v>
      </c>
      <c r="H82" s="94">
        <f>SUM(E82*69)</f>
        <v>11507.82</v>
      </c>
      <c r="I82" s="94"/>
      <c r="J82" s="94"/>
      <c r="K82" s="94"/>
      <c r="L82" s="94"/>
      <c r="M82" s="94"/>
      <c r="N82" s="94"/>
      <c r="O82" s="94"/>
      <c r="P82" s="94"/>
      <c r="Q82" s="94"/>
      <c r="R82" s="52"/>
      <c r="S82" s="47"/>
    </row>
    <row r="83" spans="1:19" s="2" customFormat="1" ht="43.5" customHeight="1" x14ac:dyDescent="0.25">
      <c r="A83" s="17"/>
      <c r="B83" s="18"/>
      <c r="C83" s="110" t="s">
        <v>60</v>
      </c>
      <c r="D83" s="113" t="s">
        <v>140</v>
      </c>
      <c r="E83" s="89">
        <f>SUM(E80:E82)</f>
        <v>139904.88599999997</v>
      </c>
      <c r="F83" s="89"/>
      <c r="G83" s="87">
        <f t="shared" ref="G83:H83" si="23">SUM(G80:G82)</f>
        <v>496912.05080999987</v>
      </c>
      <c r="H83" s="87">
        <f t="shared" si="23"/>
        <v>4738318.9220000012</v>
      </c>
      <c r="I83" s="87"/>
      <c r="J83" s="87"/>
      <c r="K83" s="87"/>
      <c r="L83" s="87"/>
      <c r="M83" s="87"/>
      <c r="N83" s="87"/>
      <c r="O83" s="87"/>
      <c r="P83" s="87">
        <f>SUM(P80:P82)</f>
        <v>2273641.14</v>
      </c>
      <c r="Q83" s="87"/>
      <c r="R83" s="49"/>
      <c r="S83" s="50"/>
    </row>
    <row r="84" spans="1:19" s="2" customFormat="1" ht="93" customHeight="1" x14ac:dyDescent="0.25">
      <c r="A84" s="19"/>
      <c r="B84" s="20"/>
      <c r="C84" s="175" t="s">
        <v>170</v>
      </c>
      <c r="D84" s="222" t="s">
        <v>144</v>
      </c>
      <c r="E84" s="93">
        <v>3595.94</v>
      </c>
      <c r="F84" s="94">
        <v>5.91</v>
      </c>
      <c r="G84" s="94">
        <f>2346.49*5.91</f>
        <v>13867.755899999998</v>
      </c>
      <c r="H84" s="94">
        <f>2346.49*69</f>
        <v>161907.81</v>
      </c>
      <c r="I84" s="228">
        <f>1153.872*5.91</f>
        <v>6819.3835200000003</v>
      </c>
      <c r="J84" s="228">
        <f>1153.872*69</f>
        <v>79617.168000000005</v>
      </c>
      <c r="K84" s="228">
        <f>SUM(I84+J84)</f>
        <v>86436.551520000008</v>
      </c>
      <c r="L84" s="253" t="s">
        <v>207</v>
      </c>
      <c r="M84" s="254"/>
      <c r="N84" s="94"/>
      <c r="O84" s="94"/>
      <c r="P84" s="94">
        <v>1313670</v>
      </c>
      <c r="Q84" s="94"/>
      <c r="R84" s="52"/>
      <c r="S84" s="47"/>
    </row>
    <row r="85" spans="1:19" s="2" customFormat="1" ht="43.5" customHeight="1" x14ac:dyDescent="0.25">
      <c r="A85" s="17"/>
      <c r="B85" s="18"/>
      <c r="C85" s="110" t="s">
        <v>60</v>
      </c>
      <c r="D85" s="113" t="s">
        <v>145</v>
      </c>
      <c r="E85" s="89">
        <f>SUM(E83:E84)</f>
        <v>143500.82599999997</v>
      </c>
      <c r="F85" s="89"/>
      <c r="G85" s="87">
        <f>SUM(G83:G84)</f>
        <v>510779.80670999986</v>
      </c>
      <c r="H85" s="87">
        <f>SUM(H83:H84)</f>
        <v>4900226.7320000008</v>
      </c>
      <c r="I85" s="87"/>
      <c r="J85" s="87"/>
      <c r="K85" s="87"/>
      <c r="L85" s="87"/>
      <c r="M85" s="87"/>
      <c r="N85" s="87"/>
      <c r="O85" s="87"/>
      <c r="P85" s="87">
        <f>SUM(P83:P84)</f>
        <v>3587311.14</v>
      </c>
      <c r="Q85" s="87"/>
      <c r="R85" s="49"/>
      <c r="S85" s="50"/>
    </row>
    <row r="86" spans="1:19" s="2" customFormat="1" ht="43.5" customHeight="1" x14ac:dyDescent="0.25">
      <c r="A86" s="19"/>
      <c r="B86" s="20"/>
      <c r="C86" s="175" t="s">
        <v>170</v>
      </c>
      <c r="D86" s="222" t="s">
        <v>165</v>
      </c>
      <c r="E86" s="93">
        <v>3375.9279999999999</v>
      </c>
      <c r="F86" s="94">
        <v>5.91</v>
      </c>
      <c r="G86" s="94">
        <f>E86*F86</f>
        <v>19951.734479999999</v>
      </c>
      <c r="H86" s="94">
        <f>E86*82</f>
        <v>276826.09600000002</v>
      </c>
      <c r="I86" s="94"/>
      <c r="J86" s="94"/>
      <c r="K86" s="94"/>
      <c r="L86" s="94"/>
      <c r="M86" s="94"/>
      <c r="N86" s="94"/>
      <c r="O86" s="94"/>
      <c r="P86" s="220" t="s">
        <v>191</v>
      </c>
      <c r="Q86" s="94"/>
      <c r="R86" s="52"/>
      <c r="S86" s="47"/>
    </row>
    <row r="87" spans="1:19" s="2" customFormat="1" ht="32.25" customHeight="1" x14ac:dyDescent="0.25">
      <c r="A87" s="19"/>
      <c r="B87" s="20"/>
      <c r="C87" s="175" t="s">
        <v>60</v>
      </c>
      <c r="D87" s="222"/>
      <c r="E87" s="93"/>
      <c r="F87" s="94"/>
      <c r="G87" s="94"/>
      <c r="H87" s="94">
        <v>772864.76</v>
      </c>
      <c r="I87" s="94"/>
      <c r="J87" s="94"/>
      <c r="K87" s="94"/>
      <c r="L87" s="94"/>
      <c r="M87" s="94"/>
      <c r="N87" s="94"/>
      <c r="O87" s="94"/>
      <c r="P87" s="220"/>
      <c r="Q87" s="94"/>
      <c r="R87" s="52"/>
      <c r="S87" s="175" t="s">
        <v>193</v>
      </c>
    </row>
    <row r="88" spans="1:19" s="2" customFormat="1" ht="46.5" customHeight="1" x14ac:dyDescent="0.25">
      <c r="A88" s="17"/>
      <c r="B88" s="18"/>
      <c r="C88" s="110" t="s">
        <v>60</v>
      </c>
      <c r="D88" s="100" t="s">
        <v>167</v>
      </c>
      <c r="E88" s="89">
        <f>SUM(E85+E86)</f>
        <v>146876.75399999996</v>
      </c>
      <c r="F88" s="89"/>
      <c r="G88" s="87">
        <f>SUM(G85+G86)</f>
        <v>530731.5411899999</v>
      </c>
      <c r="H88" s="87">
        <f>SUM(H85:H87)</f>
        <v>5949917.5880000005</v>
      </c>
      <c r="I88" s="87"/>
      <c r="J88" s="87"/>
      <c r="K88" s="87"/>
      <c r="L88" s="87"/>
      <c r="M88" s="87"/>
      <c r="N88" s="87"/>
      <c r="O88" s="87"/>
      <c r="P88" s="221" t="s">
        <v>192</v>
      </c>
      <c r="Q88" s="87"/>
      <c r="R88" s="49"/>
      <c r="S88" s="50"/>
    </row>
    <row r="89" spans="1:19" s="2" customFormat="1" ht="43.5" customHeight="1" x14ac:dyDescent="0.25">
      <c r="A89" s="19"/>
      <c r="B89" s="20"/>
      <c r="C89" s="175" t="s">
        <v>170</v>
      </c>
      <c r="D89" s="222" t="s">
        <v>166</v>
      </c>
      <c r="E89" s="93">
        <v>3435.663</v>
      </c>
      <c r="F89" s="94">
        <v>5.91</v>
      </c>
      <c r="G89" s="94">
        <f>F89*E89</f>
        <v>20304.768329999999</v>
      </c>
      <c r="H89" s="94">
        <f>E89*82</f>
        <v>281724.36599999998</v>
      </c>
      <c r="I89" s="94"/>
      <c r="J89" s="94"/>
      <c r="K89" s="94"/>
      <c r="L89" s="94"/>
      <c r="M89" s="94"/>
      <c r="N89" s="94"/>
      <c r="O89" s="94"/>
      <c r="P89" s="94">
        <v>0</v>
      </c>
      <c r="Q89" s="94"/>
      <c r="R89" s="52"/>
      <c r="S89" s="47"/>
    </row>
    <row r="90" spans="1:19" s="2" customFormat="1" ht="43.5" customHeight="1" x14ac:dyDescent="0.25">
      <c r="A90" s="17"/>
      <c r="B90" s="18"/>
      <c r="C90" s="110" t="s">
        <v>60</v>
      </c>
      <c r="D90" s="113" t="s">
        <v>168</v>
      </c>
      <c r="E90" s="89">
        <f>SUM(E88:E89)</f>
        <v>150312.41699999996</v>
      </c>
      <c r="F90" s="89"/>
      <c r="G90" s="87">
        <f>SUM(G88:G89)</f>
        <v>551036.30951999989</v>
      </c>
      <c r="H90" s="87">
        <f>SUM(H88:H89)</f>
        <v>6231641.9540000008</v>
      </c>
      <c r="I90" s="87"/>
      <c r="J90" s="87"/>
      <c r="K90" s="87"/>
      <c r="L90" s="87"/>
      <c r="M90" s="87"/>
      <c r="N90" s="87"/>
      <c r="O90" s="87"/>
      <c r="P90" s="221" t="s">
        <v>192</v>
      </c>
      <c r="Q90" s="87"/>
      <c r="R90" s="49"/>
      <c r="S90" s="50"/>
    </row>
    <row r="91" spans="1:19" s="236" customFormat="1" ht="43.5" customHeight="1" x14ac:dyDescent="0.25">
      <c r="A91" s="229"/>
      <c r="B91" s="230"/>
      <c r="C91" s="175" t="s">
        <v>170</v>
      </c>
      <c r="D91" s="222" t="s">
        <v>195</v>
      </c>
      <c r="E91" s="231">
        <v>4082.2339999999999</v>
      </c>
      <c r="F91" s="94">
        <v>5.91</v>
      </c>
      <c r="G91" s="232">
        <f>E91*F91</f>
        <v>24126.002939999998</v>
      </c>
      <c r="H91" s="232">
        <f>E91*82</f>
        <v>334743.18799999997</v>
      </c>
      <c r="I91" s="232"/>
      <c r="J91" s="232"/>
      <c r="K91" s="232"/>
      <c r="L91" s="232"/>
      <c r="M91" s="232"/>
      <c r="N91" s="232"/>
      <c r="O91" s="232"/>
      <c r="P91" s="94">
        <v>0</v>
      </c>
      <c r="Q91" s="232"/>
      <c r="R91" s="234"/>
      <c r="S91" s="235"/>
    </row>
    <row r="92" spans="1:19" s="1" customFormat="1" ht="43.5" customHeight="1" x14ac:dyDescent="0.25">
      <c r="A92" s="17"/>
      <c r="B92" s="18"/>
      <c r="C92" s="110" t="s">
        <v>60</v>
      </c>
      <c r="D92" s="113" t="s">
        <v>196</v>
      </c>
      <c r="E92" s="89">
        <f>SUM(E90:E91)</f>
        <v>154394.65099999995</v>
      </c>
      <c r="F92" s="89"/>
      <c r="G92" s="87">
        <f>SUM(G90:G91)</f>
        <v>575162.31245999993</v>
      </c>
      <c r="H92" s="87">
        <f>SUM(H90:H91)</f>
        <v>6566385.1420000009</v>
      </c>
      <c r="I92" s="87"/>
      <c r="J92" s="87"/>
      <c r="K92" s="87"/>
      <c r="L92" s="87"/>
      <c r="M92" s="87"/>
      <c r="N92" s="87"/>
      <c r="O92" s="87"/>
      <c r="P92" s="221" t="s">
        <v>192</v>
      </c>
      <c r="Q92" s="87"/>
      <c r="R92" s="49"/>
      <c r="S92" s="50"/>
    </row>
    <row r="93" spans="1:19" s="236" customFormat="1" ht="43.5" customHeight="1" x14ac:dyDescent="0.25">
      <c r="A93" s="229"/>
      <c r="B93" s="230"/>
      <c r="C93" s="175" t="s">
        <v>170</v>
      </c>
      <c r="D93" s="222" t="s">
        <v>201</v>
      </c>
      <c r="E93" s="231">
        <v>3770.92</v>
      </c>
      <c r="F93" s="94">
        <v>5.91</v>
      </c>
      <c r="G93" s="232">
        <f>2570.337*5.91</f>
        <v>15190.69167</v>
      </c>
      <c r="H93" s="232">
        <f>2570.337*82</f>
        <v>210767.63399999999</v>
      </c>
      <c r="I93" s="232">
        <f>1200.583*5.91</f>
        <v>7095.4455300000009</v>
      </c>
      <c r="J93" s="232">
        <f>1200.583*82</f>
        <v>98447.806000000011</v>
      </c>
      <c r="K93" s="232"/>
      <c r="L93" s="232"/>
      <c r="M93" s="232"/>
      <c r="N93" s="232"/>
      <c r="O93" s="232"/>
      <c r="P93" s="94">
        <v>0</v>
      </c>
      <c r="Q93" s="232"/>
      <c r="R93" s="234"/>
      <c r="S93" s="235"/>
    </row>
    <row r="94" spans="1:19" s="1" customFormat="1" ht="43.5" customHeight="1" x14ac:dyDescent="0.25">
      <c r="A94" s="17"/>
      <c r="B94" s="18"/>
      <c r="C94" s="110" t="s">
        <v>60</v>
      </c>
      <c r="D94" s="113" t="s">
        <v>202</v>
      </c>
      <c r="E94" s="89">
        <f>SUM(E92:E93)</f>
        <v>158165.57099999997</v>
      </c>
      <c r="F94" s="89"/>
      <c r="G94" s="87">
        <f>SUM(G92:G93)</f>
        <v>590353.0041299999</v>
      </c>
      <c r="H94" s="87">
        <f>SUM(H92:H93)</f>
        <v>6777152.7760000005</v>
      </c>
      <c r="I94" s="87">
        <v>7095.45</v>
      </c>
      <c r="J94" s="87">
        <v>98447.81</v>
      </c>
      <c r="K94" s="87"/>
      <c r="L94" s="87"/>
      <c r="M94" s="87"/>
      <c r="N94" s="87"/>
      <c r="O94" s="87"/>
      <c r="P94" s="221" t="s">
        <v>192</v>
      </c>
      <c r="Q94" s="87"/>
      <c r="R94" s="49"/>
      <c r="S94" s="50"/>
    </row>
    <row r="95" spans="1:19" s="236" customFormat="1" ht="43.5" customHeight="1" x14ac:dyDescent="0.25">
      <c r="A95" s="229"/>
      <c r="B95" s="230"/>
      <c r="C95" s="175" t="s">
        <v>170</v>
      </c>
      <c r="D95" s="222" t="s">
        <v>208</v>
      </c>
      <c r="E95" s="231">
        <v>3111.703</v>
      </c>
      <c r="F95" s="94">
        <v>5.91</v>
      </c>
      <c r="G95" s="232">
        <f>2036.613*5.91+7095.45</f>
        <v>19131.832829999999</v>
      </c>
      <c r="H95" s="232">
        <f>2036.613*95+98447.81</f>
        <v>291926.04500000004</v>
      </c>
      <c r="I95" s="232">
        <f>1075.09*5.91</f>
        <v>6353.7819</v>
      </c>
      <c r="J95" s="232">
        <f>1075.09*95</f>
        <v>102133.54999999999</v>
      </c>
      <c r="K95" s="232"/>
      <c r="L95" s="232"/>
      <c r="M95" s="232"/>
      <c r="N95" s="232"/>
      <c r="O95" s="232"/>
      <c r="P95" s="233"/>
      <c r="Q95" s="232"/>
      <c r="R95" s="234"/>
      <c r="S95" s="235"/>
    </row>
    <row r="96" spans="1:19" s="1" customFormat="1" ht="43.5" customHeight="1" x14ac:dyDescent="0.25">
      <c r="A96" s="17"/>
      <c r="B96" s="18"/>
      <c r="C96" s="110" t="s">
        <v>60</v>
      </c>
      <c r="D96" s="113" t="s">
        <v>209</v>
      </c>
      <c r="E96" s="89">
        <f>SUM(E94:E95)</f>
        <v>161277.27399999998</v>
      </c>
      <c r="F96" s="89"/>
      <c r="G96" s="87">
        <f>SUM(G94:G95)</f>
        <v>609484.83695999987</v>
      </c>
      <c r="H96" s="87">
        <f>SUM(H94:H95)</f>
        <v>7069078.8210000005</v>
      </c>
      <c r="I96" s="87">
        <v>6353.78</v>
      </c>
      <c r="J96" s="87">
        <v>102133.55</v>
      </c>
      <c r="K96" s="87"/>
      <c r="L96" s="87"/>
      <c r="M96" s="87"/>
      <c r="N96" s="87"/>
      <c r="O96" s="87"/>
      <c r="P96" s="221" t="s">
        <v>192</v>
      </c>
      <c r="Q96" s="87"/>
      <c r="R96" s="49"/>
      <c r="S96" s="50"/>
    </row>
    <row r="97" spans="1:20" s="236" customFormat="1" ht="43.5" customHeight="1" x14ac:dyDescent="0.25">
      <c r="A97" s="229"/>
      <c r="B97" s="230"/>
      <c r="C97" s="175" t="s">
        <v>170</v>
      </c>
      <c r="D97" s="222" t="s">
        <v>216</v>
      </c>
      <c r="E97" s="231">
        <v>3397.4879999999998</v>
      </c>
      <c r="F97" s="94">
        <v>5.91</v>
      </c>
      <c r="G97" s="232">
        <f>3295.732*5.91</f>
        <v>19477.776119999999</v>
      </c>
      <c r="H97" s="232">
        <f>3295.732*95</f>
        <v>313094.53999999998</v>
      </c>
      <c r="I97" s="232">
        <f>1176.846*5.91</f>
        <v>6955.1598599999998</v>
      </c>
      <c r="J97" s="232">
        <f>1176.846*95</f>
        <v>111800.37</v>
      </c>
      <c r="K97" s="232"/>
      <c r="L97" s="232"/>
      <c r="M97" s="232"/>
      <c r="N97" s="232"/>
      <c r="O97" s="232"/>
      <c r="P97" s="233"/>
      <c r="Q97" s="232"/>
      <c r="R97" s="234"/>
      <c r="S97" s="235"/>
    </row>
    <row r="98" spans="1:20" s="236" customFormat="1" ht="43.5" customHeight="1" x14ac:dyDescent="0.25">
      <c r="A98" s="229"/>
      <c r="B98" s="230"/>
      <c r="C98" s="252" t="s">
        <v>218</v>
      </c>
      <c r="D98" s="222"/>
      <c r="E98" s="231"/>
      <c r="F98" s="94"/>
      <c r="G98" s="232"/>
      <c r="H98" s="232">
        <v>752411.77</v>
      </c>
      <c r="I98" s="232"/>
      <c r="J98" s="232"/>
      <c r="K98" s="232"/>
      <c r="L98" s="232"/>
      <c r="M98" s="232"/>
      <c r="N98" s="232"/>
      <c r="O98" s="232"/>
      <c r="P98" s="233"/>
      <c r="Q98" s="232"/>
      <c r="R98" s="234"/>
      <c r="S98" s="235"/>
    </row>
    <row r="99" spans="1:20" s="1" customFormat="1" ht="43.5" customHeight="1" x14ac:dyDescent="0.25">
      <c r="A99" s="17"/>
      <c r="B99" s="18"/>
      <c r="C99" s="110" t="s">
        <v>60</v>
      </c>
      <c r="D99" s="113" t="s">
        <v>217</v>
      </c>
      <c r="E99" s="89">
        <f>SUM(E96:E97)</f>
        <v>164674.76199999999</v>
      </c>
      <c r="F99" s="89"/>
      <c r="G99" s="87">
        <f>SUM(G96:G97)</f>
        <v>628962.61307999992</v>
      </c>
      <c r="H99" s="87">
        <f>SUM(H96:H97:H98)</f>
        <v>8134585.131000001</v>
      </c>
      <c r="I99" s="87">
        <v>6955.16</v>
      </c>
      <c r="J99" s="87">
        <v>111800.37</v>
      </c>
      <c r="K99" s="87"/>
      <c r="L99" s="87"/>
      <c r="M99" s="87"/>
      <c r="N99" s="87"/>
      <c r="O99" s="87"/>
      <c r="P99" s="221" t="s">
        <v>192</v>
      </c>
      <c r="Q99" s="87"/>
      <c r="R99" s="49"/>
      <c r="S99" s="50"/>
    </row>
    <row r="100" spans="1:20" s="2" customFormat="1" x14ac:dyDescent="0.25">
      <c r="A100" s="22"/>
      <c r="B100" s="23"/>
      <c r="C100" s="108"/>
      <c r="D100" s="109"/>
      <c r="E100" s="107"/>
      <c r="F100" s="53"/>
      <c r="G100" s="35"/>
      <c r="H100" s="35"/>
      <c r="I100" s="35"/>
      <c r="J100" s="35"/>
      <c r="K100" s="35"/>
      <c r="L100" s="35"/>
      <c r="M100" s="35"/>
      <c r="N100" s="36"/>
      <c r="O100" s="36"/>
      <c r="P100" s="33"/>
      <c r="Q100" s="36"/>
      <c r="R100" s="54"/>
      <c r="S100" s="55"/>
    </row>
    <row r="101" spans="1:20" s="2" customFormat="1" ht="43.5" customHeight="1" x14ac:dyDescent="0.25">
      <c r="A101" s="19"/>
      <c r="B101" s="115" t="s">
        <v>22</v>
      </c>
      <c r="C101" s="116" t="s">
        <v>59</v>
      </c>
      <c r="D101" s="117">
        <v>2011</v>
      </c>
      <c r="E101" s="90">
        <v>4985</v>
      </c>
      <c r="F101" s="94"/>
      <c r="G101" s="94"/>
      <c r="H101" s="118">
        <v>14916.36</v>
      </c>
      <c r="I101" s="94"/>
      <c r="J101" s="118"/>
      <c r="K101" s="118"/>
      <c r="L101" s="94"/>
      <c r="M101" s="94"/>
      <c r="N101" s="95"/>
      <c r="O101" s="95"/>
      <c r="P101" s="94">
        <v>0</v>
      </c>
      <c r="Q101" s="30"/>
      <c r="R101" s="56"/>
      <c r="S101" s="47"/>
    </row>
    <row r="102" spans="1:20" ht="27.75" customHeight="1" x14ac:dyDescent="0.25">
      <c r="A102" s="15"/>
      <c r="B102" s="119"/>
      <c r="C102" s="116" t="s">
        <v>59</v>
      </c>
      <c r="D102" s="120">
        <v>2012</v>
      </c>
      <c r="E102" s="83">
        <v>4921.9399999999996</v>
      </c>
      <c r="F102" s="84"/>
      <c r="G102" s="118">
        <v>12766.42</v>
      </c>
      <c r="H102" s="118">
        <v>43460.44</v>
      </c>
      <c r="I102" s="85"/>
      <c r="J102" s="85"/>
      <c r="K102" s="84"/>
      <c r="L102" s="84"/>
      <c r="M102" s="84"/>
      <c r="N102" s="121"/>
      <c r="O102" s="121"/>
      <c r="P102" s="94">
        <v>0</v>
      </c>
      <c r="Q102" s="45"/>
      <c r="R102" s="57"/>
      <c r="S102" s="51"/>
    </row>
    <row r="103" spans="1:20" ht="36.75" customHeight="1" x14ac:dyDescent="0.25">
      <c r="A103" s="17"/>
      <c r="B103" s="122"/>
      <c r="C103" s="123" t="s">
        <v>59</v>
      </c>
      <c r="D103" s="96" t="s">
        <v>25</v>
      </c>
      <c r="E103" s="89">
        <v>9906.94</v>
      </c>
      <c r="F103" s="89"/>
      <c r="G103" s="87">
        <v>12766.42</v>
      </c>
      <c r="H103" s="87">
        <v>58376.800000000003</v>
      </c>
      <c r="I103" s="87"/>
      <c r="J103" s="87"/>
      <c r="K103" s="87"/>
      <c r="L103" s="87"/>
      <c r="M103" s="87"/>
      <c r="N103" s="124"/>
      <c r="O103" s="124"/>
      <c r="P103" s="87">
        <v>0</v>
      </c>
      <c r="Q103" s="48"/>
      <c r="R103" s="58"/>
      <c r="S103" s="50"/>
      <c r="T103" s="3"/>
    </row>
    <row r="104" spans="1:20" ht="25.5" x14ac:dyDescent="0.25">
      <c r="A104" s="15"/>
      <c r="B104" s="119"/>
      <c r="C104" s="116" t="s">
        <v>59</v>
      </c>
      <c r="D104" s="97">
        <v>2013</v>
      </c>
      <c r="E104" s="83">
        <v>4781</v>
      </c>
      <c r="F104" s="84"/>
      <c r="G104" s="118">
        <v>12615.76</v>
      </c>
      <c r="H104" s="118">
        <v>71680.5</v>
      </c>
      <c r="I104" s="118"/>
      <c r="J104" s="118"/>
      <c r="K104" s="84"/>
      <c r="L104" s="84"/>
      <c r="M104" s="84"/>
      <c r="N104" s="121"/>
      <c r="O104" s="121"/>
      <c r="P104" s="94">
        <v>0</v>
      </c>
      <c r="Q104" s="45"/>
      <c r="R104" s="57"/>
      <c r="S104" s="51"/>
    </row>
    <row r="105" spans="1:20" ht="36" customHeight="1" x14ac:dyDescent="0.25">
      <c r="A105" s="17"/>
      <c r="B105" s="122"/>
      <c r="C105" s="123" t="s">
        <v>59</v>
      </c>
      <c r="D105" s="96" t="s">
        <v>38</v>
      </c>
      <c r="E105" s="126">
        <v>14687.94</v>
      </c>
      <c r="F105" s="87"/>
      <c r="G105" s="87">
        <v>25382.18</v>
      </c>
      <c r="H105" s="87">
        <v>130057.3</v>
      </c>
      <c r="I105" s="87"/>
      <c r="J105" s="87"/>
      <c r="K105" s="87"/>
      <c r="L105" s="87"/>
      <c r="M105" s="87"/>
      <c r="N105" s="124"/>
      <c r="O105" s="124"/>
      <c r="P105" s="87">
        <v>0</v>
      </c>
      <c r="Q105" s="48"/>
      <c r="R105" s="58"/>
      <c r="S105" s="50"/>
    </row>
    <row r="106" spans="1:20" ht="25.5" x14ac:dyDescent="0.25">
      <c r="A106" s="15"/>
      <c r="B106" s="119"/>
      <c r="C106" s="116" t="s">
        <v>59</v>
      </c>
      <c r="D106" s="97">
        <v>2014</v>
      </c>
      <c r="E106" s="127">
        <v>4750</v>
      </c>
      <c r="F106" s="84"/>
      <c r="G106" s="182">
        <v>9911.66</v>
      </c>
      <c r="H106" s="182">
        <v>82539.539999999994</v>
      </c>
      <c r="I106" s="128"/>
      <c r="J106" s="125"/>
      <c r="K106" s="84"/>
      <c r="L106" s="84"/>
      <c r="M106" s="84"/>
      <c r="N106" s="121"/>
      <c r="O106" s="121"/>
      <c r="P106" s="94">
        <v>0</v>
      </c>
      <c r="Q106" s="45"/>
      <c r="R106" s="57"/>
      <c r="S106" s="51"/>
    </row>
    <row r="107" spans="1:20" ht="38.25" customHeight="1" x14ac:dyDescent="0.25">
      <c r="A107" s="17"/>
      <c r="B107" s="122"/>
      <c r="C107" s="123" t="s">
        <v>59</v>
      </c>
      <c r="D107" s="96" t="s">
        <v>24</v>
      </c>
      <c r="E107" s="126">
        <v>19437.939999999999</v>
      </c>
      <c r="F107" s="87"/>
      <c r="G107" s="87">
        <v>35293.839999999997</v>
      </c>
      <c r="H107" s="87">
        <v>212596.84</v>
      </c>
      <c r="I107" s="87"/>
      <c r="J107" s="87"/>
      <c r="K107" s="87"/>
      <c r="L107" s="87"/>
      <c r="M107" s="87"/>
      <c r="N107" s="124"/>
      <c r="O107" s="124"/>
      <c r="P107" s="87">
        <v>0</v>
      </c>
      <c r="Q107" s="48"/>
      <c r="R107" s="58"/>
      <c r="S107" s="50"/>
    </row>
    <row r="108" spans="1:20" ht="29.25" customHeight="1" x14ac:dyDescent="0.25">
      <c r="A108" s="15"/>
      <c r="B108" s="119"/>
      <c r="C108" s="116" t="s">
        <v>59</v>
      </c>
      <c r="D108" s="97">
        <v>2015</v>
      </c>
      <c r="E108" s="91">
        <v>3202.79</v>
      </c>
      <c r="F108" s="84">
        <v>2.64</v>
      </c>
      <c r="G108" s="106">
        <f>E108*F108</f>
        <v>8455.365600000001</v>
      </c>
      <c r="H108" s="106">
        <v>89678.12</v>
      </c>
      <c r="I108" s="92"/>
      <c r="J108" s="92"/>
      <c r="K108" s="84"/>
      <c r="L108" s="84"/>
      <c r="M108" s="84"/>
      <c r="N108" s="121"/>
      <c r="O108" s="121"/>
      <c r="P108" s="84" t="s">
        <v>55</v>
      </c>
      <c r="Q108" s="45"/>
      <c r="R108" s="57"/>
      <c r="S108" s="51"/>
    </row>
    <row r="109" spans="1:20" ht="39" customHeight="1" x14ac:dyDescent="0.25">
      <c r="A109" s="17"/>
      <c r="B109" s="122"/>
      <c r="C109" s="123" t="s">
        <v>59</v>
      </c>
      <c r="D109" s="96" t="s">
        <v>26</v>
      </c>
      <c r="E109" s="126">
        <v>22640.73</v>
      </c>
      <c r="F109" s="87"/>
      <c r="G109" s="87">
        <v>43749.21</v>
      </c>
      <c r="H109" s="87">
        <v>302274.96000000002</v>
      </c>
      <c r="I109" s="87"/>
      <c r="J109" s="87"/>
      <c r="K109" s="87"/>
      <c r="L109" s="87"/>
      <c r="M109" s="87"/>
      <c r="N109" s="124"/>
      <c r="O109" s="124"/>
      <c r="P109" s="87" t="s">
        <v>55</v>
      </c>
      <c r="Q109" s="48"/>
      <c r="R109" s="58"/>
      <c r="S109" s="50"/>
    </row>
    <row r="110" spans="1:20" ht="32.25" customHeight="1" x14ac:dyDescent="0.25">
      <c r="A110" s="15"/>
      <c r="B110" s="119"/>
      <c r="C110" s="116" t="s">
        <v>59</v>
      </c>
      <c r="D110" s="99" t="s">
        <v>29</v>
      </c>
      <c r="E110" s="91">
        <v>846.61599999999999</v>
      </c>
      <c r="F110" s="92">
        <v>5.91</v>
      </c>
      <c r="G110" s="94">
        <f>E110*F110</f>
        <v>5003.5005600000004</v>
      </c>
      <c r="H110" s="94">
        <v>30478.175999999999</v>
      </c>
      <c r="I110" s="84"/>
      <c r="J110" s="84"/>
      <c r="K110" s="84"/>
      <c r="L110" s="84"/>
      <c r="M110" s="84"/>
      <c r="N110" s="121"/>
      <c r="O110" s="121"/>
      <c r="P110" s="84">
        <v>0</v>
      </c>
      <c r="Q110" s="45"/>
      <c r="R110" s="57"/>
      <c r="S110" s="51"/>
    </row>
    <row r="111" spans="1:20" ht="38.25" x14ac:dyDescent="0.25">
      <c r="A111" s="17"/>
      <c r="B111" s="122"/>
      <c r="C111" s="123" t="s">
        <v>59</v>
      </c>
      <c r="D111" s="100" t="s">
        <v>30</v>
      </c>
      <c r="E111" s="126">
        <v>23487.346000000001</v>
      </c>
      <c r="F111" s="87"/>
      <c r="G111" s="87">
        <v>48752.71</v>
      </c>
      <c r="H111" s="87">
        <v>332753.14</v>
      </c>
      <c r="I111" s="87"/>
      <c r="J111" s="87"/>
      <c r="K111" s="87"/>
      <c r="L111" s="87"/>
      <c r="M111" s="87"/>
      <c r="N111" s="124"/>
      <c r="O111" s="124"/>
      <c r="P111" s="87" t="s">
        <v>55</v>
      </c>
      <c r="Q111" s="48"/>
      <c r="R111" s="58"/>
      <c r="S111" s="50"/>
    </row>
    <row r="112" spans="1:20" ht="25.5" x14ac:dyDescent="0.25">
      <c r="A112" s="15"/>
      <c r="B112" s="119"/>
      <c r="C112" s="116" t="s">
        <v>59</v>
      </c>
      <c r="D112" s="99" t="s">
        <v>31</v>
      </c>
      <c r="E112" s="91">
        <v>907.40300000000002</v>
      </c>
      <c r="F112" s="92">
        <v>5.91</v>
      </c>
      <c r="G112" s="94">
        <f>E112*F112</f>
        <v>5362.75173</v>
      </c>
      <c r="H112" s="94">
        <v>32666.508000000002</v>
      </c>
      <c r="I112" s="84"/>
      <c r="J112" s="84"/>
      <c r="K112" s="84"/>
      <c r="L112" s="84"/>
      <c r="M112" s="84"/>
      <c r="N112" s="121"/>
      <c r="O112" s="121"/>
      <c r="P112" s="84">
        <v>0</v>
      </c>
      <c r="Q112" s="45"/>
      <c r="R112" s="57"/>
      <c r="S112" s="51"/>
    </row>
    <row r="113" spans="1:19" ht="38.25" x14ac:dyDescent="0.25">
      <c r="A113" s="15"/>
      <c r="B113" s="119"/>
      <c r="C113" s="101" t="s">
        <v>39</v>
      </c>
      <c r="D113" s="104"/>
      <c r="E113" s="91">
        <v>23.4</v>
      </c>
      <c r="F113" s="84">
        <v>0</v>
      </c>
      <c r="G113" s="94">
        <v>0</v>
      </c>
      <c r="H113" s="94">
        <v>0</v>
      </c>
      <c r="I113" s="84"/>
      <c r="J113" s="84"/>
      <c r="K113" s="84"/>
      <c r="L113" s="84"/>
      <c r="M113" s="84"/>
      <c r="N113" s="121"/>
      <c r="O113" s="121"/>
      <c r="P113" s="84"/>
      <c r="Q113" s="45"/>
      <c r="R113" s="57"/>
      <c r="S113" s="51"/>
    </row>
    <row r="114" spans="1:19" ht="38.25" x14ac:dyDescent="0.25">
      <c r="A114" s="17"/>
      <c r="B114" s="122"/>
      <c r="C114" s="123" t="s">
        <v>59</v>
      </c>
      <c r="D114" s="100" t="s">
        <v>32</v>
      </c>
      <c r="E114" s="126">
        <v>24418.149000000001</v>
      </c>
      <c r="F114" s="87"/>
      <c r="G114" s="87">
        <v>54115.46</v>
      </c>
      <c r="H114" s="87">
        <v>365419.65</v>
      </c>
      <c r="I114" s="87"/>
      <c r="J114" s="87"/>
      <c r="K114" s="87"/>
      <c r="L114" s="87"/>
      <c r="M114" s="87"/>
      <c r="N114" s="124"/>
      <c r="O114" s="124"/>
      <c r="P114" s="87" t="s">
        <v>55</v>
      </c>
      <c r="Q114" s="48"/>
      <c r="R114" s="58"/>
      <c r="S114" s="50"/>
    </row>
    <row r="115" spans="1:19" ht="25.5" x14ac:dyDescent="0.25">
      <c r="A115" s="15"/>
      <c r="B115" s="119"/>
      <c r="C115" s="116" t="s">
        <v>59</v>
      </c>
      <c r="D115" s="99" t="s">
        <v>33</v>
      </c>
      <c r="E115" s="91">
        <v>916.74900000000002</v>
      </c>
      <c r="F115" s="92">
        <v>5.91</v>
      </c>
      <c r="G115" s="94">
        <f>E115*F115</f>
        <v>5417.9865900000004</v>
      </c>
      <c r="H115" s="94">
        <v>33002.959999999999</v>
      </c>
      <c r="I115" s="84"/>
      <c r="J115" s="84"/>
      <c r="K115" s="84"/>
      <c r="L115" s="84"/>
      <c r="M115" s="84"/>
      <c r="N115" s="121"/>
      <c r="O115" s="121"/>
      <c r="P115" s="84">
        <v>4800</v>
      </c>
      <c r="Q115" s="45"/>
      <c r="R115" s="57"/>
      <c r="S115" s="51"/>
    </row>
    <row r="116" spans="1:19" ht="38.25" x14ac:dyDescent="0.25">
      <c r="A116" s="17"/>
      <c r="B116" s="122"/>
      <c r="C116" s="123" t="s">
        <v>59</v>
      </c>
      <c r="D116" s="100" t="s">
        <v>35</v>
      </c>
      <c r="E116" s="126">
        <v>25334.898000000001</v>
      </c>
      <c r="F116" s="87"/>
      <c r="G116" s="87">
        <v>59533.45</v>
      </c>
      <c r="H116" s="87">
        <v>398422.61</v>
      </c>
      <c r="I116" s="87"/>
      <c r="J116" s="87"/>
      <c r="K116" s="87"/>
      <c r="L116" s="87"/>
      <c r="M116" s="87"/>
      <c r="N116" s="124"/>
      <c r="O116" s="124"/>
      <c r="P116" s="87">
        <v>172903.94</v>
      </c>
      <c r="Q116" s="48"/>
      <c r="R116" s="58"/>
      <c r="S116" s="50"/>
    </row>
    <row r="117" spans="1:19" ht="25.5" x14ac:dyDescent="0.25">
      <c r="A117" s="15"/>
      <c r="B117" s="119"/>
      <c r="C117" s="116" t="s">
        <v>59</v>
      </c>
      <c r="D117" s="99" t="s">
        <v>34</v>
      </c>
      <c r="E117" s="130">
        <v>855.72699999999998</v>
      </c>
      <c r="F117" s="92">
        <v>5.91</v>
      </c>
      <c r="G117" s="94">
        <f>E117*F117</f>
        <v>5057.3465699999997</v>
      </c>
      <c r="H117" s="94">
        <v>30806.171999999999</v>
      </c>
      <c r="I117" s="84"/>
      <c r="J117" s="84"/>
      <c r="K117" s="84"/>
      <c r="L117" s="84"/>
      <c r="M117" s="84"/>
      <c r="N117" s="121"/>
      <c r="O117" s="121"/>
      <c r="P117" s="84">
        <v>78932.399999999994</v>
      </c>
      <c r="Q117" s="45"/>
      <c r="R117" s="57"/>
      <c r="S117" s="51"/>
    </row>
    <row r="118" spans="1:19" ht="38.25" x14ac:dyDescent="0.25">
      <c r="A118" s="17"/>
      <c r="B118" s="122"/>
      <c r="C118" s="123" t="s">
        <v>59</v>
      </c>
      <c r="D118" s="100" t="s">
        <v>36</v>
      </c>
      <c r="E118" s="126">
        <v>26190.625</v>
      </c>
      <c r="F118" s="87"/>
      <c r="G118" s="87">
        <v>64590.8</v>
      </c>
      <c r="H118" s="87">
        <v>429228.78</v>
      </c>
      <c r="I118" s="87"/>
      <c r="J118" s="87"/>
      <c r="K118" s="87"/>
      <c r="L118" s="87"/>
      <c r="M118" s="87"/>
      <c r="N118" s="124"/>
      <c r="O118" s="124"/>
      <c r="P118" s="87">
        <v>251836.34</v>
      </c>
      <c r="Q118" s="48"/>
      <c r="R118" s="58"/>
      <c r="S118" s="50"/>
    </row>
    <row r="119" spans="1:19" s="2" customFormat="1" ht="25.5" x14ac:dyDescent="0.25">
      <c r="A119" s="19"/>
      <c r="B119" s="129"/>
      <c r="C119" s="116" t="s">
        <v>59</v>
      </c>
      <c r="D119" s="99" t="s">
        <v>57</v>
      </c>
      <c r="E119" s="130">
        <v>705.48800000000006</v>
      </c>
      <c r="F119" s="94">
        <v>5.91</v>
      </c>
      <c r="G119" s="94">
        <v>4965.6000000000004</v>
      </c>
      <c r="H119" s="94">
        <v>32769.919999999998</v>
      </c>
      <c r="I119" s="94"/>
      <c r="J119" s="94"/>
      <c r="K119" s="94"/>
      <c r="L119" s="94"/>
      <c r="M119" s="94"/>
      <c r="N119" s="95"/>
      <c r="O119" s="95"/>
      <c r="P119" s="94">
        <v>88532.4</v>
      </c>
      <c r="Q119" s="30"/>
      <c r="R119" s="56"/>
      <c r="S119" s="47"/>
    </row>
    <row r="120" spans="1:19" ht="38.25" x14ac:dyDescent="0.25">
      <c r="A120" s="17"/>
      <c r="B120" s="122"/>
      <c r="C120" s="123" t="s">
        <v>59</v>
      </c>
      <c r="D120" s="100" t="s">
        <v>58</v>
      </c>
      <c r="E120" s="126">
        <v>26896.133000000002</v>
      </c>
      <c r="F120" s="126"/>
      <c r="G120" s="105">
        <f>SUM(G118:G119)</f>
        <v>69556.400000000009</v>
      </c>
      <c r="H120" s="105">
        <f t="shared" ref="H120" si="24">SUM(H118:H119)</f>
        <v>461998.7</v>
      </c>
      <c r="I120" s="105"/>
      <c r="J120" s="105"/>
      <c r="K120" s="105"/>
      <c r="L120" s="87"/>
      <c r="M120" s="87"/>
      <c r="N120" s="124"/>
      <c r="O120" s="124"/>
      <c r="P120" s="87">
        <f>SUM(P118:P119)</f>
        <v>340368.74</v>
      </c>
      <c r="Q120" s="48"/>
      <c r="R120" s="58"/>
      <c r="S120" s="50"/>
    </row>
    <row r="121" spans="1:19" s="2" customFormat="1" ht="25.5" x14ac:dyDescent="0.25">
      <c r="A121" s="19"/>
      <c r="B121" s="129"/>
      <c r="C121" s="131" t="s">
        <v>59</v>
      </c>
      <c r="D121" s="99" t="s">
        <v>61</v>
      </c>
      <c r="E121" s="130">
        <v>916.58799999999997</v>
      </c>
      <c r="F121" s="94">
        <v>5.91</v>
      </c>
      <c r="G121" s="94">
        <f t="shared" ref="G121:G123" si="25">E121*F121</f>
        <v>5417.0350799999997</v>
      </c>
      <c r="H121" s="106">
        <v>36663.519999999997</v>
      </c>
      <c r="I121" s="106"/>
      <c r="J121" s="106"/>
      <c r="K121" s="106"/>
      <c r="L121" s="94"/>
      <c r="M121" s="94"/>
      <c r="N121" s="95"/>
      <c r="O121" s="95"/>
      <c r="P121" s="94">
        <v>0</v>
      </c>
      <c r="Q121" s="30"/>
      <c r="R121" s="56"/>
      <c r="S121" s="47"/>
    </row>
    <row r="122" spans="1:19" ht="38.25" x14ac:dyDescent="0.25">
      <c r="A122" s="17"/>
      <c r="B122" s="122"/>
      <c r="C122" s="123" t="s">
        <v>59</v>
      </c>
      <c r="D122" s="100" t="s">
        <v>63</v>
      </c>
      <c r="E122" s="126">
        <v>27812.721000000001</v>
      </c>
      <c r="F122" s="126"/>
      <c r="G122" s="105">
        <f>SUM(G120:G121)</f>
        <v>74973.43508000001</v>
      </c>
      <c r="H122" s="105">
        <f t="shared" ref="H122" si="26">SUM(H120:H121)</f>
        <v>498662.22000000003</v>
      </c>
      <c r="I122" s="105"/>
      <c r="J122" s="105"/>
      <c r="K122" s="105"/>
      <c r="L122" s="87"/>
      <c r="M122" s="87"/>
      <c r="N122" s="124"/>
      <c r="O122" s="124"/>
      <c r="P122" s="87">
        <v>340368.74</v>
      </c>
      <c r="Q122" s="48"/>
      <c r="R122" s="58"/>
      <c r="S122" s="50"/>
    </row>
    <row r="123" spans="1:19" s="2" customFormat="1" ht="25.5" x14ac:dyDescent="0.25">
      <c r="A123" s="19"/>
      <c r="B123" s="129"/>
      <c r="C123" s="131" t="s">
        <v>59</v>
      </c>
      <c r="D123" s="99" t="s">
        <v>64</v>
      </c>
      <c r="E123" s="130">
        <v>1154.587</v>
      </c>
      <c r="F123" s="94">
        <v>5.91</v>
      </c>
      <c r="G123" s="94">
        <f t="shared" si="25"/>
        <v>6823.6091699999997</v>
      </c>
      <c r="H123" s="106">
        <v>46183.48</v>
      </c>
      <c r="I123" s="106"/>
      <c r="J123" s="106"/>
      <c r="K123" s="106"/>
      <c r="L123" s="94"/>
      <c r="M123" s="94"/>
      <c r="N123" s="95"/>
      <c r="O123" s="95"/>
      <c r="P123" s="94">
        <v>0</v>
      </c>
      <c r="Q123" s="30"/>
      <c r="R123" s="56"/>
      <c r="S123" s="47"/>
    </row>
    <row r="124" spans="1:19" s="2" customFormat="1" ht="38.25" x14ac:dyDescent="0.25">
      <c r="A124" s="19"/>
      <c r="B124" s="129"/>
      <c r="C124" s="131" t="s">
        <v>39</v>
      </c>
      <c r="D124" s="104"/>
      <c r="E124" s="130">
        <v>25.26</v>
      </c>
      <c r="F124" s="106">
        <v>0</v>
      </c>
      <c r="G124" s="106">
        <v>0</v>
      </c>
      <c r="H124" s="106">
        <v>0</v>
      </c>
      <c r="I124" s="106"/>
      <c r="J124" s="106"/>
      <c r="K124" s="106"/>
      <c r="L124" s="94"/>
      <c r="M124" s="94"/>
      <c r="N124" s="95"/>
      <c r="O124" s="95"/>
      <c r="P124" s="94"/>
      <c r="Q124" s="30"/>
      <c r="R124" s="56"/>
      <c r="S124" s="47"/>
    </row>
    <row r="125" spans="1:19" ht="38.25" x14ac:dyDescent="0.25">
      <c r="A125" s="17"/>
      <c r="B125" s="122"/>
      <c r="C125" s="132" t="s">
        <v>59</v>
      </c>
      <c r="D125" s="100" t="s">
        <v>65</v>
      </c>
      <c r="E125" s="126">
        <v>28992.547999999999</v>
      </c>
      <c r="F125" s="126"/>
      <c r="G125" s="105">
        <f>SUM(G122:G123)</f>
        <v>81797.044250000006</v>
      </c>
      <c r="H125" s="105">
        <f t="shared" ref="H125" si="27">SUM(H122:H123)</f>
        <v>544845.70000000007</v>
      </c>
      <c r="I125" s="105"/>
      <c r="J125" s="105"/>
      <c r="K125" s="105"/>
      <c r="L125" s="87"/>
      <c r="M125" s="87"/>
      <c r="N125" s="124"/>
      <c r="O125" s="124"/>
      <c r="P125" s="87">
        <v>340368.74</v>
      </c>
      <c r="Q125" s="48"/>
      <c r="R125" s="58"/>
      <c r="S125" s="50"/>
    </row>
    <row r="126" spans="1:19" s="2" customFormat="1" ht="29.25" customHeight="1" x14ac:dyDescent="0.25">
      <c r="A126" s="19"/>
      <c r="B126" s="129"/>
      <c r="C126" s="131" t="s">
        <v>59</v>
      </c>
      <c r="D126" s="99" t="s">
        <v>70</v>
      </c>
      <c r="E126" s="130">
        <v>962.755</v>
      </c>
      <c r="F126" s="94">
        <v>5.91</v>
      </c>
      <c r="G126" s="106">
        <v>4893.72</v>
      </c>
      <c r="H126" s="106">
        <v>33959.699999999997</v>
      </c>
      <c r="I126" s="106"/>
      <c r="J126" s="106"/>
      <c r="K126" s="106"/>
      <c r="L126" s="94"/>
      <c r="M126" s="94"/>
      <c r="N126" s="95"/>
      <c r="O126" s="95"/>
      <c r="P126" s="94">
        <v>0</v>
      </c>
      <c r="Q126" s="30"/>
      <c r="R126" s="56"/>
      <c r="S126" s="47"/>
    </row>
    <row r="127" spans="1:19" ht="38.25" x14ac:dyDescent="0.25">
      <c r="A127" s="17"/>
      <c r="B127" s="122"/>
      <c r="C127" s="132" t="s">
        <v>59</v>
      </c>
      <c r="D127" s="100" t="s">
        <v>69</v>
      </c>
      <c r="E127" s="126">
        <v>29955.303</v>
      </c>
      <c r="F127" s="126"/>
      <c r="G127" s="105">
        <f t="shared" ref="G127:H127" si="28">SUM(G125:G126)</f>
        <v>86690.764250000007</v>
      </c>
      <c r="H127" s="105">
        <f t="shared" si="28"/>
        <v>578805.4</v>
      </c>
      <c r="I127" s="105"/>
      <c r="J127" s="105"/>
      <c r="K127" s="105"/>
      <c r="L127" s="87"/>
      <c r="M127" s="87"/>
      <c r="N127" s="124"/>
      <c r="O127" s="124"/>
      <c r="P127" s="87">
        <f>SUM(P125:P126)</f>
        <v>340368.74</v>
      </c>
      <c r="Q127" s="48"/>
      <c r="R127" s="58"/>
      <c r="S127" s="50"/>
    </row>
    <row r="128" spans="1:19" s="2" customFormat="1" ht="25.5" x14ac:dyDescent="0.25">
      <c r="A128" s="19"/>
      <c r="B128" s="129"/>
      <c r="C128" s="131" t="s">
        <v>59</v>
      </c>
      <c r="D128" s="99" t="s">
        <v>71</v>
      </c>
      <c r="E128" s="130">
        <v>707.91200000000003</v>
      </c>
      <c r="F128" s="94">
        <v>5.91</v>
      </c>
      <c r="G128" s="106">
        <f>E128*F128</f>
        <v>4183.7599200000004</v>
      </c>
      <c r="H128" s="106">
        <f>E128*45</f>
        <v>31856.04</v>
      </c>
      <c r="I128" s="106"/>
      <c r="J128" s="106"/>
      <c r="K128" s="106"/>
      <c r="L128" s="94"/>
      <c r="M128" s="94"/>
      <c r="N128" s="95"/>
      <c r="O128" s="95"/>
      <c r="P128" s="94">
        <v>129332.4</v>
      </c>
      <c r="Q128" s="30"/>
      <c r="R128" s="56"/>
      <c r="S128" s="47"/>
    </row>
    <row r="129" spans="1:19" ht="42" customHeight="1" x14ac:dyDescent="0.25">
      <c r="A129" s="17"/>
      <c r="B129" s="122"/>
      <c r="C129" s="132" t="s">
        <v>59</v>
      </c>
      <c r="D129" s="100" t="s">
        <v>72</v>
      </c>
      <c r="E129" s="126">
        <f>SUM(E127:E128)</f>
        <v>30663.215</v>
      </c>
      <c r="F129" s="126"/>
      <c r="G129" s="105">
        <f>SUM(G127:G128)</f>
        <v>90874.524170000004</v>
      </c>
      <c r="H129" s="105">
        <f>SUM(H127:H128)</f>
        <v>610661.44000000006</v>
      </c>
      <c r="I129" s="105"/>
      <c r="J129" s="105"/>
      <c r="K129" s="105"/>
      <c r="L129" s="87"/>
      <c r="M129" s="87"/>
      <c r="N129" s="124"/>
      <c r="O129" s="124"/>
      <c r="P129" s="87">
        <f>SUM(P127:P128)</f>
        <v>469701.14</v>
      </c>
      <c r="Q129" s="48"/>
      <c r="R129" s="58"/>
      <c r="S129" s="50"/>
    </row>
    <row r="130" spans="1:19" s="2" customFormat="1" ht="33" customHeight="1" x14ac:dyDescent="0.25">
      <c r="A130" s="19"/>
      <c r="B130" s="129"/>
      <c r="C130" s="131" t="s">
        <v>59</v>
      </c>
      <c r="D130" s="99" t="s">
        <v>73</v>
      </c>
      <c r="E130" s="130">
        <v>1022.022</v>
      </c>
      <c r="F130" s="94">
        <v>5.91</v>
      </c>
      <c r="G130" s="106">
        <f>E130*F130</f>
        <v>6040.15002</v>
      </c>
      <c r="H130" s="106">
        <f>E130*45</f>
        <v>45990.990000000005</v>
      </c>
      <c r="I130" s="106"/>
      <c r="J130" s="106"/>
      <c r="K130" s="106"/>
      <c r="L130" s="94"/>
      <c r="M130" s="94"/>
      <c r="N130" s="95"/>
      <c r="O130" s="95"/>
      <c r="P130" s="94">
        <v>40385</v>
      </c>
      <c r="Q130" s="30"/>
      <c r="R130" s="56"/>
      <c r="S130" s="47"/>
    </row>
    <row r="131" spans="1:19" ht="42" customHeight="1" x14ac:dyDescent="0.25">
      <c r="A131" s="17"/>
      <c r="B131" s="122"/>
      <c r="C131" s="132" t="s">
        <v>59</v>
      </c>
      <c r="D131" s="100" t="s">
        <v>74</v>
      </c>
      <c r="E131" s="126">
        <f>SUM(E129:E130)</f>
        <v>31685.237000000001</v>
      </c>
      <c r="F131" s="126"/>
      <c r="G131" s="105">
        <f>SUM(G129:G130)</f>
        <v>96914.674190000005</v>
      </c>
      <c r="H131" s="105">
        <f>SUM(H129:H130)</f>
        <v>656652.43000000005</v>
      </c>
      <c r="I131" s="105"/>
      <c r="J131" s="105"/>
      <c r="K131" s="105"/>
      <c r="L131" s="87"/>
      <c r="M131" s="87"/>
      <c r="N131" s="124"/>
      <c r="O131" s="124"/>
      <c r="P131" s="87">
        <f>SUM(P129:P130)</f>
        <v>510086.14</v>
      </c>
      <c r="Q131" s="48"/>
      <c r="R131" s="58"/>
      <c r="S131" s="50"/>
    </row>
    <row r="132" spans="1:19" s="2" customFormat="1" ht="27" customHeight="1" x14ac:dyDescent="0.25">
      <c r="A132" s="19"/>
      <c r="B132" s="129"/>
      <c r="C132" s="131" t="s">
        <v>59</v>
      </c>
      <c r="D132" s="99" t="s">
        <v>76</v>
      </c>
      <c r="E132" s="130">
        <v>1091.2829999999999</v>
      </c>
      <c r="F132" s="94">
        <v>5.91</v>
      </c>
      <c r="G132" s="106">
        <f>E132*F132</f>
        <v>6449.4825299999993</v>
      </c>
      <c r="H132" s="106">
        <f>E132*45</f>
        <v>49107.734999999993</v>
      </c>
      <c r="I132" s="106"/>
      <c r="J132" s="106"/>
      <c r="K132" s="106"/>
      <c r="L132" s="94"/>
      <c r="M132" s="94"/>
      <c r="N132" s="95"/>
      <c r="O132" s="95"/>
      <c r="P132" s="94">
        <v>0</v>
      </c>
      <c r="Q132" s="30"/>
      <c r="R132" s="56"/>
      <c r="S132" s="47"/>
    </row>
    <row r="133" spans="1:19" s="2" customFormat="1" ht="42" customHeight="1" x14ac:dyDescent="0.25">
      <c r="A133" s="19"/>
      <c r="B133" s="129"/>
      <c r="C133" s="131" t="s">
        <v>39</v>
      </c>
      <c r="D133" s="104"/>
      <c r="E133" s="130">
        <v>25.85</v>
      </c>
      <c r="F133" s="94">
        <v>0</v>
      </c>
      <c r="G133" s="94">
        <v>0</v>
      </c>
      <c r="H133" s="94">
        <v>0</v>
      </c>
      <c r="I133" s="94"/>
      <c r="J133" s="94"/>
      <c r="K133" s="94"/>
      <c r="L133" s="94"/>
      <c r="M133" s="94"/>
      <c r="N133" s="95"/>
      <c r="O133" s="95"/>
      <c r="P133" s="94"/>
      <c r="Q133" s="30"/>
      <c r="R133" s="56"/>
      <c r="S133" s="47"/>
    </row>
    <row r="134" spans="1:19" ht="42" customHeight="1" x14ac:dyDescent="0.25">
      <c r="A134" s="17"/>
      <c r="B134" s="122"/>
      <c r="C134" s="132" t="s">
        <v>59</v>
      </c>
      <c r="D134" s="100" t="s">
        <v>77</v>
      </c>
      <c r="E134" s="126">
        <f>SUM(E131:E133)</f>
        <v>32802.370000000003</v>
      </c>
      <c r="F134" s="126"/>
      <c r="G134" s="105">
        <f t="shared" ref="G134:H134" si="29">SUM(G131:G133)</f>
        <v>103364.15672</v>
      </c>
      <c r="H134" s="105">
        <f t="shared" si="29"/>
        <v>705760.16500000004</v>
      </c>
      <c r="I134" s="105"/>
      <c r="J134" s="105"/>
      <c r="K134" s="105"/>
      <c r="L134" s="87"/>
      <c r="M134" s="87"/>
      <c r="N134" s="124"/>
      <c r="O134" s="124"/>
      <c r="P134" s="87">
        <f>SUM(P131:P133)</f>
        <v>510086.14</v>
      </c>
      <c r="Q134" s="48"/>
      <c r="R134" s="58"/>
      <c r="S134" s="50"/>
    </row>
    <row r="135" spans="1:19" s="2" customFormat="1" ht="29.25" customHeight="1" x14ac:dyDescent="0.25">
      <c r="A135" s="19"/>
      <c r="B135" s="129"/>
      <c r="C135" s="131" t="s">
        <v>59</v>
      </c>
      <c r="D135" s="99" t="s">
        <v>78</v>
      </c>
      <c r="E135" s="130">
        <v>862.673</v>
      </c>
      <c r="F135" s="94">
        <v>5.91</v>
      </c>
      <c r="G135" s="106">
        <f>E135*F135</f>
        <v>5098.39743</v>
      </c>
      <c r="H135" s="106">
        <f>E135*45</f>
        <v>38820.285000000003</v>
      </c>
      <c r="I135" s="106"/>
      <c r="J135" s="106"/>
      <c r="K135" s="106"/>
      <c r="L135" s="94"/>
      <c r="M135" s="94"/>
      <c r="N135" s="95"/>
      <c r="O135" s="95"/>
      <c r="P135" s="94">
        <v>15000</v>
      </c>
      <c r="Q135" s="30"/>
      <c r="R135" s="56"/>
      <c r="S135" s="47"/>
    </row>
    <row r="136" spans="1:19" ht="42" customHeight="1" x14ac:dyDescent="0.25">
      <c r="A136" s="17"/>
      <c r="B136" s="122"/>
      <c r="C136" s="132" t="s">
        <v>59</v>
      </c>
      <c r="D136" s="100" t="s">
        <v>79</v>
      </c>
      <c r="E136" s="126">
        <f>SUM(E134:E135)</f>
        <v>33665.043000000005</v>
      </c>
      <c r="F136" s="126"/>
      <c r="G136" s="105">
        <f>SUM(G134:G135)</f>
        <v>108462.55415</v>
      </c>
      <c r="H136" s="105">
        <f>SUM(H134:H135)</f>
        <v>744580.45000000007</v>
      </c>
      <c r="I136" s="105"/>
      <c r="J136" s="105"/>
      <c r="K136" s="105"/>
      <c r="L136" s="105"/>
      <c r="M136" s="105"/>
      <c r="N136" s="105"/>
      <c r="O136" s="105"/>
      <c r="P136" s="105">
        <f>SUM(P134:P135)</f>
        <v>525086.14</v>
      </c>
      <c r="Q136" s="48"/>
      <c r="R136" s="58"/>
      <c r="S136" s="50"/>
    </row>
    <row r="137" spans="1:19" s="2" customFormat="1" ht="30" customHeight="1" x14ac:dyDescent="0.25">
      <c r="A137" s="19"/>
      <c r="B137" s="129"/>
      <c r="C137" s="131" t="s">
        <v>59</v>
      </c>
      <c r="D137" s="99" t="s">
        <v>82</v>
      </c>
      <c r="E137" s="130">
        <v>782.74900000000002</v>
      </c>
      <c r="F137" s="94">
        <v>5.91</v>
      </c>
      <c r="G137" s="106">
        <f>E137*F137</f>
        <v>4626.0465899999999</v>
      </c>
      <c r="H137" s="106">
        <f>E137*57</f>
        <v>44616.692999999999</v>
      </c>
      <c r="I137" s="106"/>
      <c r="J137" s="106"/>
      <c r="K137" s="106"/>
      <c r="L137" s="106"/>
      <c r="M137" s="106"/>
      <c r="N137" s="106"/>
      <c r="O137" s="106"/>
      <c r="P137" s="106">
        <v>0</v>
      </c>
      <c r="Q137" s="30"/>
      <c r="R137" s="56"/>
      <c r="S137" s="47"/>
    </row>
    <row r="138" spans="1:19" s="2" customFormat="1" ht="30" customHeight="1" x14ac:dyDescent="0.25">
      <c r="A138" s="19"/>
      <c r="B138" s="129"/>
      <c r="C138" s="131" t="s">
        <v>87</v>
      </c>
      <c r="D138" s="99"/>
      <c r="E138" s="130">
        <v>16.38</v>
      </c>
      <c r="F138" s="94"/>
      <c r="G138" s="106">
        <f>16.38*5.91</f>
        <v>96.805799999999991</v>
      </c>
      <c r="H138" s="106">
        <f>16.38*57</f>
        <v>933.66</v>
      </c>
      <c r="I138" s="106"/>
      <c r="J138" s="106"/>
      <c r="K138" s="106"/>
      <c r="L138" s="106"/>
      <c r="M138" s="106"/>
      <c r="N138" s="106"/>
      <c r="O138" s="106"/>
      <c r="P138" s="106"/>
      <c r="Q138" s="30"/>
      <c r="R138" s="56"/>
      <c r="S138" s="47"/>
    </row>
    <row r="139" spans="1:19" ht="42" customHeight="1" x14ac:dyDescent="0.25">
      <c r="A139" s="17"/>
      <c r="B139" s="122"/>
      <c r="C139" s="132" t="s">
        <v>59</v>
      </c>
      <c r="D139" s="100" t="s">
        <v>81</v>
      </c>
      <c r="E139" s="126">
        <f>SUM(E136:E138)</f>
        <v>34464.172000000006</v>
      </c>
      <c r="F139" s="126"/>
      <c r="G139" s="105">
        <f t="shared" ref="G139:H139" si="30">SUM(G136:G138)</f>
        <v>113185.40654</v>
      </c>
      <c r="H139" s="105">
        <f t="shared" si="30"/>
        <v>790130.80300000007</v>
      </c>
      <c r="I139" s="105"/>
      <c r="J139" s="105"/>
      <c r="K139" s="105"/>
      <c r="L139" s="105"/>
      <c r="M139" s="105"/>
      <c r="N139" s="105"/>
      <c r="O139" s="105"/>
      <c r="P139" s="105">
        <v>525086.14</v>
      </c>
      <c r="Q139" s="48"/>
      <c r="R139" s="58"/>
      <c r="S139" s="50"/>
    </row>
    <row r="140" spans="1:19" s="2" customFormat="1" ht="28.5" customHeight="1" x14ac:dyDescent="0.25">
      <c r="A140" s="19"/>
      <c r="B140" s="129"/>
      <c r="C140" s="131" t="s">
        <v>59</v>
      </c>
      <c r="D140" s="99" t="s">
        <v>84</v>
      </c>
      <c r="E140" s="130">
        <v>916.85400000000004</v>
      </c>
      <c r="F140" s="94">
        <v>5.91</v>
      </c>
      <c r="G140" s="106">
        <f>E140*F140</f>
        <v>5418.6071400000001</v>
      </c>
      <c r="H140" s="106">
        <f>E140*57</f>
        <v>52260.678</v>
      </c>
      <c r="I140" s="106"/>
      <c r="J140" s="106"/>
      <c r="K140" s="106"/>
      <c r="L140" s="106"/>
      <c r="M140" s="106"/>
      <c r="N140" s="106"/>
      <c r="O140" s="106"/>
      <c r="P140" s="106">
        <v>11880</v>
      </c>
      <c r="Q140" s="30"/>
      <c r="R140" s="56"/>
      <c r="S140" s="47"/>
    </row>
    <row r="141" spans="1:19" s="2" customFormat="1" ht="42" customHeight="1" x14ac:dyDescent="0.25">
      <c r="A141" s="19"/>
      <c r="B141" s="129"/>
      <c r="C141" s="131"/>
      <c r="D141" s="99"/>
      <c r="E141" s="130"/>
      <c r="F141" s="94"/>
      <c r="G141" s="106"/>
      <c r="H141" s="106">
        <v>37013.769999999997</v>
      </c>
      <c r="I141" s="106"/>
      <c r="J141" s="106"/>
      <c r="K141" s="106"/>
      <c r="L141" s="106"/>
      <c r="M141" s="106"/>
      <c r="N141" s="106"/>
      <c r="O141" s="106"/>
      <c r="P141" s="106"/>
      <c r="Q141" s="30"/>
      <c r="R141" s="56"/>
      <c r="S141" s="227" t="s">
        <v>88</v>
      </c>
    </row>
    <row r="142" spans="1:19" ht="39" customHeight="1" x14ac:dyDescent="0.25">
      <c r="A142" s="17"/>
      <c r="B142" s="122"/>
      <c r="C142" s="132" t="s">
        <v>59</v>
      </c>
      <c r="D142" s="100" t="s">
        <v>86</v>
      </c>
      <c r="E142" s="126">
        <f>SUM(E139:E140)</f>
        <v>35381.026000000005</v>
      </c>
      <c r="F142" s="126"/>
      <c r="G142" s="105">
        <f t="shared" ref="G142" si="31">SUM(G139:G140)</f>
        <v>118604.01368</v>
      </c>
      <c r="H142" s="105">
        <f>SUM(H139:H141)</f>
        <v>879405.25100000005</v>
      </c>
      <c r="I142" s="105"/>
      <c r="J142" s="105"/>
      <c r="K142" s="105"/>
      <c r="L142" s="105"/>
      <c r="M142" s="105"/>
      <c r="N142" s="105"/>
      <c r="O142" s="105"/>
      <c r="P142" s="105">
        <f>SUM(P139:P140)</f>
        <v>536966.14</v>
      </c>
      <c r="Q142" s="48"/>
      <c r="R142" s="58"/>
      <c r="S142" s="50"/>
    </row>
    <row r="143" spans="1:19" s="2" customFormat="1" ht="29.25" customHeight="1" x14ac:dyDescent="0.25">
      <c r="A143" s="19"/>
      <c r="B143" s="129"/>
      <c r="C143" s="131" t="s">
        <v>59</v>
      </c>
      <c r="D143" s="99" t="s">
        <v>89</v>
      </c>
      <c r="E143" s="130">
        <v>1075.2919999999999</v>
      </c>
      <c r="F143" s="94">
        <v>5.91</v>
      </c>
      <c r="G143" s="106">
        <f>E143*F143</f>
        <v>6354.9757199999995</v>
      </c>
      <c r="H143" s="106">
        <f>E143*57</f>
        <v>61291.643999999993</v>
      </c>
      <c r="I143" s="106"/>
      <c r="J143" s="106"/>
      <c r="K143" s="106"/>
      <c r="L143" s="106"/>
      <c r="M143" s="106"/>
      <c r="N143" s="106"/>
      <c r="O143" s="106"/>
      <c r="P143" s="106">
        <v>107074.2</v>
      </c>
      <c r="Q143" s="30"/>
      <c r="R143" s="56"/>
      <c r="S143" s="47"/>
    </row>
    <row r="144" spans="1:19" s="2" customFormat="1" ht="39" customHeight="1" x14ac:dyDescent="0.25">
      <c r="A144" s="19"/>
      <c r="B144" s="129"/>
      <c r="C144" s="131" t="s">
        <v>39</v>
      </c>
      <c r="D144" s="104"/>
      <c r="E144" s="130">
        <v>24.38</v>
      </c>
      <c r="F144" s="130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30"/>
      <c r="R144" s="56"/>
      <c r="S144" s="47"/>
    </row>
    <row r="145" spans="1:19" ht="39" customHeight="1" x14ac:dyDescent="0.25">
      <c r="A145" s="17"/>
      <c r="B145" s="122"/>
      <c r="C145" s="132" t="s">
        <v>59</v>
      </c>
      <c r="D145" s="100" t="s">
        <v>90</v>
      </c>
      <c r="E145" s="126">
        <f>SUM(E142:E144)</f>
        <v>36480.698000000004</v>
      </c>
      <c r="F145" s="126"/>
      <c r="G145" s="105">
        <f t="shared" ref="G145:P145" si="32">SUM(G142:G144)</f>
        <v>124958.98940000001</v>
      </c>
      <c r="H145" s="105">
        <f t="shared" si="32"/>
        <v>940696.89500000002</v>
      </c>
      <c r="I145" s="105"/>
      <c r="J145" s="105"/>
      <c r="K145" s="105"/>
      <c r="L145" s="105"/>
      <c r="M145" s="105"/>
      <c r="N145" s="105"/>
      <c r="O145" s="105"/>
      <c r="P145" s="105">
        <f t="shared" si="32"/>
        <v>644040.34</v>
      </c>
      <c r="Q145" s="48"/>
      <c r="R145" s="58"/>
      <c r="S145" s="50"/>
    </row>
    <row r="146" spans="1:19" s="2" customFormat="1" ht="29.25" customHeight="1" x14ac:dyDescent="0.25">
      <c r="A146" s="19"/>
      <c r="B146" s="129"/>
      <c r="C146" s="131" t="s">
        <v>59</v>
      </c>
      <c r="D146" s="99" t="s">
        <v>93</v>
      </c>
      <c r="E146" s="130">
        <v>1008.648</v>
      </c>
      <c r="F146" s="94">
        <v>5.91</v>
      </c>
      <c r="G146" s="106">
        <f>E146*F146</f>
        <v>5961.1096800000005</v>
      </c>
      <c r="H146" s="106">
        <f>E146*57</f>
        <v>57492.936000000002</v>
      </c>
      <c r="I146" s="106"/>
      <c r="J146" s="106"/>
      <c r="K146" s="106"/>
      <c r="L146" s="106"/>
      <c r="M146" s="106"/>
      <c r="N146" s="106"/>
      <c r="O146" s="106"/>
      <c r="P146" s="106">
        <v>0</v>
      </c>
      <c r="Q146" s="30"/>
      <c r="R146" s="56"/>
      <c r="S146" s="47"/>
    </row>
    <row r="147" spans="1:19" ht="39" customHeight="1" x14ac:dyDescent="0.25">
      <c r="A147" s="17"/>
      <c r="B147" s="122"/>
      <c r="C147" s="132" t="s">
        <v>59</v>
      </c>
      <c r="D147" s="100" t="s">
        <v>94</v>
      </c>
      <c r="E147" s="126">
        <f>SUM(E145:E146)</f>
        <v>37489.346000000005</v>
      </c>
      <c r="F147" s="126"/>
      <c r="G147" s="105">
        <f t="shared" ref="G147:H147" si="33">SUM(G145:G146)</f>
        <v>130920.09908</v>
      </c>
      <c r="H147" s="105">
        <f t="shared" si="33"/>
        <v>998189.83100000001</v>
      </c>
      <c r="I147" s="105"/>
      <c r="J147" s="105"/>
      <c r="K147" s="105"/>
      <c r="L147" s="105"/>
      <c r="M147" s="105"/>
      <c r="N147" s="105"/>
      <c r="O147" s="105"/>
      <c r="P147" s="105">
        <v>644040.34</v>
      </c>
      <c r="Q147" s="48"/>
      <c r="R147" s="58"/>
      <c r="S147" s="50"/>
    </row>
    <row r="148" spans="1:19" s="2" customFormat="1" ht="130.5" customHeight="1" x14ac:dyDescent="0.25">
      <c r="A148" s="19"/>
      <c r="B148" s="129"/>
      <c r="C148" s="131" t="s">
        <v>59</v>
      </c>
      <c r="D148" s="99" t="s">
        <v>96</v>
      </c>
      <c r="E148" s="130">
        <v>808.85599999999999</v>
      </c>
      <c r="F148" s="94">
        <v>5.91</v>
      </c>
      <c r="G148" s="106">
        <f>E148*F148</f>
        <v>4780.33896</v>
      </c>
      <c r="H148" s="106">
        <v>74688.240000000005</v>
      </c>
      <c r="I148" s="106"/>
      <c r="J148" s="106"/>
      <c r="K148" s="106"/>
      <c r="L148" s="106"/>
      <c r="M148" s="106"/>
      <c r="N148" s="106"/>
      <c r="O148" s="106"/>
      <c r="P148" s="106">
        <v>0</v>
      </c>
      <c r="Q148" s="30"/>
      <c r="R148" s="56"/>
      <c r="S148" s="218" t="s">
        <v>106</v>
      </c>
    </row>
    <row r="149" spans="1:19" ht="39" customHeight="1" x14ac:dyDescent="0.25">
      <c r="A149" s="17"/>
      <c r="B149" s="122"/>
      <c r="C149" s="132" t="s">
        <v>59</v>
      </c>
      <c r="D149" s="100" t="s">
        <v>97</v>
      </c>
      <c r="E149" s="126">
        <f>SUM(E147:E148)</f>
        <v>38298.202000000005</v>
      </c>
      <c r="F149" s="126"/>
      <c r="G149" s="105">
        <f t="shared" ref="G149:P149" si="34">SUM(G147:G148)</f>
        <v>135700.43804000001</v>
      </c>
      <c r="H149" s="105">
        <f t="shared" si="34"/>
        <v>1072878.071</v>
      </c>
      <c r="I149" s="105"/>
      <c r="J149" s="105"/>
      <c r="K149" s="105"/>
      <c r="L149" s="105"/>
      <c r="M149" s="105"/>
      <c r="N149" s="105"/>
      <c r="O149" s="105"/>
      <c r="P149" s="105">
        <f t="shared" si="34"/>
        <v>644040.34</v>
      </c>
      <c r="Q149" s="48"/>
      <c r="R149" s="58"/>
      <c r="S149" s="219"/>
    </row>
    <row r="150" spans="1:19" s="2" customFormat="1" ht="33.75" customHeight="1" x14ac:dyDescent="0.25">
      <c r="A150" s="19"/>
      <c r="B150" s="129"/>
      <c r="C150" s="131" t="s">
        <v>59</v>
      </c>
      <c r="D150" s="99" t="s">
        <v>119</v>
      </c>
      <c r="E150" s="130">
        <v>1057.3689999999999</v>
      </c>
      <c r="F150" s="94">
        <v>5.91</v>
      </c>
      <c r="G150" s="106">
        <f>E150*F150</f>
        <v>6249.0507899999993</v>
      </c>
      <c r="H150" s="106">
        <f>E150*69</f>
        <v>72958.460999999996</v>
      </c>
      <c r="I150" s="106"/>
      <c r="J150" s="106"/>
      <c r="K150" s="106"/>
      <c r="L150" s="106"/>
      <c r="M150" s="106"/>
      <c r="N150" s="106"/>
      <c r="O150" s="106"/>
      <c r="P150" s="106">
        <v>51725.25</v>
      </c>
      <c r="Q150" s="30"/>
      <c r="R150" s="56"/>
      <c r="S150" s="223"/>
    </row>
    <row r="151" spans="1:19" s="2" customFormat="1" ht="33.75" customHeight="1" x14ac:dyDescent="0.25">
      <c r="A151" s="19"/>
      <c r="B151" s="129"/>
      <c r="C151" s="131" t="s">
        <v>59</v>
      </c>
      <c r="D151" s="99"/>
      <c r="E151" s="130"/>
      <c r="F151" s="94"/>
      <c r="G151" s="106"/>
      <c r="H151" s="106">
        <v>94403.92</v>
      </c>
      <c r="I151" s="106"/>
      <c r="J151" s="106"/>
      <c r="K151" s="106"/>
      <c r="L151" s="106"/>
      <c r="M151" s="106"/>
      <c r="N151" s="106"/>
      <c r="O151" s="106"/>
      <c r="P151" s="106"/>
      <c r="Q151" s="30"/>
      <c r="R151" s="56"/>
      <c r="S151" s="187" t="s">
        <v>130</v>
      </c>
    </row>
    <row r="152" spans="1:19" ht="39" customHeight="1" x14ac:dyDescent="0.25">
      <c r="A152" s="17"/>
      <c r="B152" s="122"/>
      <c r="C152" s="132" t="s">
        <v>59</v>
      </c>
      <c r="D152" s="100" t="s">
        <v>120</v>
      </c>
      <c r="E152" s="126">
        <f>SUM(E149:E151)</f>
        <v>39355.571000000004</v>
      </c>
      <c r="F152" s="105"/>
      <c r="G152" s="105">
        <f t="shared" ref="G152:P152" si="35">SUM(G149:G151)</f>
        <v>141949.48883000002</v>
      </c>
      <c r="H152" s="105">
        <f t="shared" si="35"/>
        <v>1240240.4519999998</v>
      </c>
      <c r="I152" s="105"/>
      <c r="J152" s="105"/>
      <c r="K152" s="105"/>
      <c r="L152" s="105"/>
      <c r="M152" s="105"/>
      <c r="N152" s="105"/>
      <c r="O152" s="105"/>
      <c r="P152" s="105">
        <f t="shared" si="35"/>
        <v>695765.59</v>
      </c>
      <c r="Q152" s="48"/>
      <c r="R152" s="58"/>
      <c r="S152" s="219"/>
    </row>
    <row r="153" spans="1:19" s="2" customFormat="1" ht="39" customHeight="1" x14ac:dyDescent="0.25">
      <c r="A153" s="19"/>
      <c r="B153" s="129"/>
      <c r="C153" s="131" t="s">
        <v>59</v>
      </c>
      <c r="D153" s="99" t="s">
        <v>139</v>
      </c>
      <c r="E153" s="130">
        <v>1108.903</v>
      </c>
      <c r="F153" s="106">
        <v>5.91</v>
      </c>
      <c r="G153" s="106">
        <f>SUM(F153*E153)</f>
        <v>6553.6167300000006</v>
      </c>
      <c r="H153" s="106">
        <f>SUM(E153*69)</f>
        <v>76514.307000000001</v>
      </c>
      <c r="I153" s="106"/>
      <c r="J153" s="106"/>
      <c r="K153" s="106"/>
      <c r="L153" s="106"/>
      <c r="M153" s="106"/>
      <c r="N153" s="106"/>
      <c r="O153" s="106"/>
      <c r="P153" s="106">
        <v>98247.43</v>
      </c>
      <c r="Q153" s="30"/>
      <c r="R153" s="56"/>
      <c r="S153" s="223"/>
    </row>
    <row r="154" spans="1:19" ht="39" customHeight="1" x14ac:dyDescent="0.25">
      <c r="A154" s="17"/>
      <c r="B154" s="122"/>
      <c r="C154" s="132" t="s">
        <v>59</v>
      </c>
      <c r="D154" s="100" t="s">
        <v>140</v>
      </c>
      <c r="E154" s="126">
        <f>SUM(E152:E153)</f>
        <v>40464.474000000002</v>
      </c>
      <c r="F154" s="126"/>
      <c r="G154" s="105">
        <f t="shared" ref="G154:H154" si="36">SUM(G152:G153)</f>
        <v>148503.10556000003</v>
      </c>
      <c r="H154" s="105">
        <f t="shared" si="36"/>
        <v>1316754.7589999998</v>
      </c>
      <c r="I154" s="105"/>
      <c r="J154" s="105"/>
      <c r="K154" s="105"/>
      <c r="L154" s="105"/>
      <c r="M154" s="105"/>
      <c r="N154" s="105"/>
      <c r="O154" s="105"/>
      <c r="P154" s="105">
        <f>SUM(P152:P153)</f>
        <v>794013.02</v>
      </c>
      <c r="Q154" s="48"/>
      <c r="R154" s="58"/>
      <c r="S154" s="219"/>
    </row>
    <row r="155" spans="1:19" s="2" customFormat="1" ht="87" customHeight="1" x14ac:dyDescent="0.25">
      <c r="A155" s="19"/>
      <c r="B155" s="129"/>
      <c r="C155" s="131" t="s">
        <v>59</v>
      </c>
      <c r="D155" s="99" t="s">
        <v>144</v>
      </c>
      <c r="E155" s="130">
        <v>915.47699999999998</v>
      </c>
      <c r="F155" s="106">
        <v>5.91</v>
      </c>
      <c r="G155" s="106">
        <f>613.109*5.91</f>
        <v>3623.4741900000004</v>
      </c>
      <c r="H155" s="106">
        <f>613.109*69</f>
        <v>42304.521000000001</v>
      </c>
      <c r="I155" s="228">
        <f>302.368*5.91</f>
        <v>1786.99488</v>
      </c>
      <c r="J155" s="228">
        <f>302.368*69</f>
        <v>20863.392</v>
      </c>
      <c r="K155" s="228">
        <f>SUM(I155+J155)</f>
        <v>22650.386879999998</v>
      </c>
      <c r="L155" s="253" t="s">
        <v>207</v>
      </c>
      <c r="M155" s="254"/>
      <c r="N155" s="106"/>
      <c r="O155" s="106"/>
      <c r="P155" s="106">
        <v>427890</v>
      </c>
      <c r="Q155" s="30"/>
      <c r="R155" s="56"/>
      <c r="S155" s="223"/>
    </row>
    <row r="156" spans="1:19" ht="39" customHeight="1" x14ac:dyDescent="0.25">
      <c r="A156" s="17"/>
      <c r="B156" s="122"/>
      <c r="C156" s="132" t="s">
        <v>59</v>
      </c>
      <c r="D156" s="100" t="s">
        <v>145</v>
      </c>
      <c r="E156" s="126">
        <f>SUM(E154:E155)</f>
        <v>41379.951000000001</v>
      </c>
      <c r="F156" s="126"/>
      <c r="G156" s="105">
        <f t="shared" ref="G156:K156" si="37">SUM(G154:G155)</f>
        <v>152126.57975000003</v>
      </c>
      <c r="H156" s="105">
        <f t="shared" si="37"/>
        <v>1359059.2799999998</v>
      </c>
      <c r="I156" s="105">
        <f t="shared" si="37"/>
        <v>1786.99488</v>
      </c>
      <c r="J156" s="105">
        <f t="shared" si="37"/>
        <v>20863.392</v>
      </c>
      <c r="K156" s="105">
        <f t="shared" si="37"/>
        <v>22650.386879999998</v>
      </c>
      <c r="L156" s="105"/>
      <c r="M156" s="105"/>
      <c r="N156" s="105"/>
      <c r="O156" s="105"/>
      <c r="P156" s="105">
        <f>SUM(P154:P155)</f>
        <v>1221903.02</v>
      </c>
      <c r="Q156" s="48"/>
      <c r="R156" s="58"/>
      <c r="S156" s="219"/>
    </row>
    <row r="157" spans="1:19" s="2" customFormat="1" ht="39" customHeight="1" x14ac:dyDescent="0.25">
      <c r="A157" s="19"/>
      <c r="B157" s="129"/>
      <c r="C157" s="131" t="s">
        <v>59</v>
      </c>
      <c r="D157" s="99" t="s">
        <v>165</v>
      </c>
      <c r="E157" s="130">
        <v>857.43200000000002</v>
      </c>
      <c r="F157" s="106">
        <v>5.91</v>
      </c>
      <c r="G157" s="106"/>
      <c r="H157" s="106"/>
      <c r="I157" s="106">
        <f>E157*F157</f>
        <v>5067.4231200000004</v>
      </c>
      <c r="J157" s="106">
        <f>E157*82</f>
        <v>70309.423999999999</v>
      </c>
      <c r="K157" s="106"/>
      <c r="L157" s="106"/>
      <c r="M157" s="106"/>
      <c r="N157" s="106"/>
      <c r="O157" s="106"/>
      <c r="P157" s="225" t="s">
        <v>171</v>
      </c>
      <c r="Q157" s="30"/>
      <c r="R157" s="56"/>
      <c r="S157" s="223"/>
    </row>
    <row r="158" spans="1:19" s="2" customFormat="1" ht="39" customHeight="1" x14ac:dyDescent="0.25">
      <c r="A158" s="19"/>
      <c r="B158" s="129"/>
      <c r="C158" s="131"/>
      <c r="D158" s="104"/>
      <c r="E158" s="130"/>
      <c r="F158" s="106"/>
      <c r="G158" s="106"/>
      <c r="H158" s="106">
        <v>257621.59</v>
      </c>
      <c r="I158" s="106"/>
      <c r="J158" s="106"/>
      <c r="K158" s="106"/>
      <c r="L158" s="106"/>
      <c r="M158" s="106"/>
      <c r="N158" s="106"/>
      <c r="O158" s="106"/>
      <c r="P158" s="225"/>
      <c r="Q158" s="30"/>
      <c r="R158" s="56"/>
      <c r="S158" s="187" t="s">
        <v>193</v>
      </c>
    </row>
    <row r="159" spans="1:19" ht="39" customHeight="1" x14ac:dyDescent="0.25">
      <c r="A159" s="17"/>
      <c r="B159" s="122"/>
      <c r="C159" s="132" t="s">
        <v>59</v>
      </c>
      <c r="D159" s="100" t="s">
        <v>167</v>
      </c>
      <c r="E159" s="126">
        <f>SUM(E156:E157)</f>
        <v>42237.383000000002</v>
      </c>
      <c r="F159" s="126"/>
      <c r="G159" s="105">
        <f t="shared" ref="G159" si="38">SUM(G156:G157)</f>
        <v>152126.57975000003</v>
      </c>
      <c r="H159" s="105">
        <f>SUM(H156:H158)</f>
        <v>1616680.8699999999</v>
      </c>
      <c r="I159" s="105">
        <v>5067.4231200000004</v>
      </c>
      <c r="J159" s="105">
        <v>70309.423999999999</v>
      </c>
      <c r="K159" s="105"/>
      <c r="L159" s="105"/>
      <c r="M159" s="105"/>
      <c r="N159" s="105"/>
      <c r="O159" s="105"/>
      <c r="P159" s="185" t="s">
        <v>172</v>
      </c>
      <c r="Q159" s="48"/>
      <c r="R159" s="58"/>
      <c r="S159" s="219"/>
    </row>
    <row r="160" spans="1:19" s="2" customFormat="1" ht="30" customHeight="1" x14ac:dyDescent="0.25">
      <c r="A160" s="19"/>
      <c r="B160" s="129"/>
      <c r="C160" s="131" t="s">
        <v>59</v>
      </c>
      <c r="D160" s="99" t="s">
        <v>166</v>
      </c>
      <c r="E160" s="130">
        <v>927.85699999999997</v>
      </c>
      <c r="F160" s="106">
        <v>5.91</v>
      </c>
      <c r="G160" s="106">
        <v>1636.53</v>
      </c>
      <c r="H160" s="106">
        <v>22706.46</v>
      </c>
      <c r="I160" s="106">
        <f>E160*F160</f>
        <v>5483.6348699999999</v>
      </c>
      <c r="J160" s="106">
        <f>E160*82</f>
        <v>76084.274000000005</v>
      </c>
      <c r="K160" s="106"/>
      <c r="L160" s="106"/>
      <c r="M160" s="106"/>
      <c r="N160" s="106"/>
      <c r="O160" s="106"/>
      <c r="P160" s="106">
        <v>0</v>
      </c>
      <c r="Q160" s="30"/>
      <c r="R160" s="56"/>
      <c r="S160" s="223"/>
    </row>
    <row r="161" spans="1:19" ht="39" customHeight="1" x14ac:dyDescent="0.25">
      <c r="A161" s="17"/>
      <c r="B161" s="122"/>
      <c r="C161" s="132" t="s">
        <v>59</v>
      </c>
      <c r="D161" s="100" t="s">
        <v>168</v>
      </c>
      <c r="E161" s="126">
        <f>SUM(E159:E160)</f>
        <v>43165.240000000005</v>
      </c>
      <c r="F161" s="126"/>
      <c r="G161" s="105">
        <f t="shared" ref="G161:H163" si="39">SUM(G159:G160)</f>
        <v>153763.10975000003</v>
      </c>
      <c r="H161" s="105">
        <f t="shared" si="39"/>
        <v>1639387.3299999998</v>
      </c>
      <c r="I161" s="105">
        <v>8914.52</v>
      </c>
      <c r="J161" s="105">
        <v>123687.23</v>
      </c>
      <c r="K161" s="105"/>
      <c r="L161" s="105"/>
      <c r="M161" s="105"/>
      <c r="N161" s="105"/>
      <c r="O161" s="105"/>
      <c r="P161" s="185" t="s">
        <v>194</v>
      </c>
      <c r="Q161" s="48"/>
      <c r="R161" s="58"/>
      <c r="S161" s="219"/>
    </row>
    <row r="162" spans="1:19" s="236" customFormat="1" ht="39" customHeight="1" x14ac:dyDescent="0.25">
      <c r="A162" s="229"/>
      <c r="B162" s="237"/>
      <c r="C162" s="131" t="s">
        <v>59</v>
      </c>
      <c r="D162" s="99" t="s">
        <v>195</v>
      </c>
      <c r="E162" s="238">
        <v>1092.4860000000001</v>
      </c>
      <c r="F162" s="106">
        <v>5.91</v>
      </c>
      <c r="G162" s="239"/>
      <c r="H162" s="239"/>
      <c r="I162" s="239">
        <f>E162*F162</f>
        <v>6456.5922600000004</v>
      </c>
      <c r="J162" s="239">
        <f>E162*82</f>
        <v>89583.852000000014</v>
      </c>
      <c r="K162" s="239"/>
      <c r="L162" s="239"/>
      <c r="M162" s="239"/>
      <c r="N162" s="239"/>
      <c r="O162" s="239"/>
      <c r="P162" s="106">
        <v>0</v>
      </c>
      <c r="Q162" s="240"/>
      <c r="R162" s="241"/>
      <c r="S162" s="242"/>
    </row>
    <row r="163" spans="1:19" ht="39" customHeight="1" x14ac:dyDescent="0.25">
      <c r="A163" s="17"/>
      <c r="B163" s="122"/>
      <c r="C163" s="132" t="s">
        <v>59</v>
      </c>
      <c r="D163" s="100" t="s">
        <v>196</v>
      </c>
      <c r="E163" s="126">
        <f>SUM(E161:E162)</f>
        <v>44257.726000000002</v>
      </c>
      <c r="F163" s="126"/>
      <c r="G163" s="105">
        <f t="shared" si="39"/>
        <v>153763.10975000003</v>
      </c>
      <c r="H163" s="105">
        <f t="shared" si="39"/>
        <v>1639387.3299999998</v>
      </c>
      <c r="I163" s="105">
        <f>SUM(I161:I162)</f>
        <v>15371.112260000002</v>
      </c>
      <c r="J163" s="105">
        <f xml:space="preserve"> SUM(J161,J162)</f>
        <v>213271.08199999999</v>
      </c>
      <c r="K163" s="105"/>
      <c r="L163" s="105"/>
      <c r="M163" s="105"/>
      <c r="N163" s="105"/>
      <c r="O163" s="105"/>
      <c r="P163" s="185" t="s">
        <v>194</v>
      </c>
      <c r="Q163" s="48"/>
      <c r="R163" s="58"/>
      <c r="S163" s="219"/>
    </row>
    <row r="164" spans="1:19" s="236" customFormat="1" ht="39" customHeight="1" x14ac:dyDescent="0.25">
      <c r="A164" s="229"/>
      <c r="B164" s="237"/>
      <c r="C164" s="131" t="s">
        <v>59</v>
      </c>
      <c r="D164" s="99" t="s">
        <v>201</v>
      </c>
      <c r="E164" s="238">
        <v>972.1</v>
      </c>
      <c r="F164" s="106">
        <v>5.91</v>
      </c>
      <c r="G164" s="239"/>
      <c r="H164" s="239"/>
      <c r="I164" s="239">
        <f>E164*F164</f>
        <v>5745.1109999999999</v>
      </c>
      <c r="J164" s="239">
        <f>E164*82</f>
        <v>79712.2</v>
      </c>
      <c r="K164" s="239"/>
      <c r="L164" s="239"/>
      <c r="M164" s="239"/>
      <c r="N164" s="239"/>
      <c r="O164" s="239"/>
      <c r="P164" s="106">
        <v>0</v>
      </c>
      <c r="Q164" s="240"/>
      <c r="R164" s="241"/>
      <c r="S164" s="242"/>
    </row>
    <row r="165" spans="1:19" ht="39" customHeight="1" x14ac:dyDescent="0.25">
      <c r="A165" s="17"/>
      <c r="B165" s="122"/>
      <c r="C165" s="132" t="s">
        <v>59</v>
      </c>
      <c r="D165" s="100" t="s">
        <v>202</v>
      </c>
      <c r="E165" s="126">
        <f>SUM(E163:E164)</f>
        <v>45229.826000000001</v>
      </c>
      <c r="F165" s="126"/>
      <c r="G165" s="105">
        <f>SUM(G163:G164)</f>
        <v>153763.10975000003</v>
      </c>
      <c r="H165" s="105">
        <f>SUM(H163:H164)</f>
        <v>1639387.3299999998</v>
      </c>
      <c r="I165" s="105">
        <f>SUM(I163:I164)</f>
        <v>21116.223260000002</v>
      </c>
      <c r="J165" s="105">
        <f>SUM(J163:J164)</f>
        <v>292983.28200000001</v>
      </c>
      <c r="K165" s="105"/>
      <c r="L165" s="105"/>
      <c r="M165" s="105"/>
      <c r="N165" s="105"/>
      <c r="O165" s="105"/>
      <c r="P165" s="185" t="s">
        <v>194</v>
      </c>
      <c r="Q165" s="48"/>
      <c r="R165" s="58"/>
      <c r="S165" s="219"/>
    </row>
    <row r="166" spans="1:19" s="236" customFormat="1" ht="39" customHeight="1" x14ac:dyDescent="0.25">
      <c r="A166" s="229"/>
      <c r="B166" s="237"/>
      <c r="C166" s="249" t="s">
        <v>59</v>
      </c>
      <c r="D166" s="99" t="s">
        <v>208</v>
      </c>
      <c r="E166" s="238">
        <v>785.27700000000004</v>
      </c>
      <c r="F166" s="106">
        <v>5.91</v>
      </c>
      <c r="G166" s="239">
        <f>505.007*5.91</f>
        <v>2984.5913700000001</v>
      </c>
      <c r="H166" s="239">
        <f>505.007*95</f>
        <v>47975.665000000001</v>
      </c>
      <c r="I166" s="239">
        <f>280.27*5.91</f>
        <v>1656.3957</v>
      </c>
      <c r="J166" s="239">
        <f>280.27*95</f>
        <v>26625.649999999998</v>
      </c>
      <c r="K166" s="239"/>
      <c r="L166" s="239"/>
      <c r="M166" s="239"/>
      <c r="N166" s="239"/>
      <c r="O166" s="239"/>
      <c r="P166" s="250"/>
      <c r="Q166" s="240"/>
      <c r="R166" s="241"/>
      <c r="S166" s="242"/>
    </row>
    <row r="167" spans="1:19" ht="39" customHeight="1" x14ac:dyDescent="0.25">
      <c r="A167" s="17"/>
      <c r="B167" s="122"/>
      <c r="C167" s="132" t="s">
        <v>59</v>
      </c>
      <c r="D167" s="100" t="s">
        <v>209</v>
      </c>
      <c r="E167" s="126">
        <f>SUM(E165:E166)</f>
        <v>46015.103000000003</v>
      </c>
      <c r="F167" s="126"/>
      <c r="G167" s="105">
        <f>SUM(G165:G166)</f>
        <v>156747.70112000004</v>
      </c>
      <c r="H167" s="105">
        <f>SUM(H165:H166)</f>
        <v>1687362.9949999999</v>
      </c>
      <c r="I167" s="105">
        <f>SUM(I165:I166)</f>
        <v>22772.618960000003</v>
      </c>
      <c r="J167" s="105">
        <f>SUM(J165:J166)</f>
        <v>319608.93200000003</v>
      </c>
      <c r="K167" s="105"/>
      <c r="L167" s="105"/>
      <c r="M167" s="105"/>
      <c r="N167" s="105"/>
      <c r="O167" s="105"/>
      <c r="P167" s="185" t="s">
        <v>194</v>
      </c>
      <c r="Q167" s="48"/>
      <c r="R167" s="58"/>
      <c r="S167" s="219"/>
    </row>
    <row r="168" spans="1:19" s="236" customFormat="1" ht="39" customHeight="1" x14ac:dyDescent="0.25">
      <c r="A168" s="229"/>
      <c r="B168" s="237"/>
      <c r="C168" s="249" t="s">
        <v>59</v>
      </c>
      <c r="D168" s="99" t="s">
        <v>216</v>
      </c>
      <c r="E168" s="238">
        <v>916.65200000000004</v>
      </c>
      <c r="F168" s="106">
        <v>5.91</v>
      </c>
      <c r="G168" s="239"/>
      <c r="H168" s="239"/>
      <c r="I168" s="239">
        <f>916.652*5.91</f>
        <v>5417.4133200000006</v>
      </c>
      <c r="J168" s="239">
        <f>916.652*95</f>
        <v>87081.94</v>
      </c>
      <c r="K168" s="239"/>
      <c r="L168" s="239"/>
      <c r="M168" s="239"/>
      <c r="N168" s="239"/>
      <c r="O168" s="239"/>
      <c r="P168" s="250"/>
      <c r="Q168" s="240"/>
      <c r="R168" s="241"/>
      <c r="S168" s="242"/>
    </row>
    <row r="169" spans="1:19" s="236" customFormat="1" ht="39" customHeight="1" x14ac:dyDescent="0.25">
      <c r="A169" s="229"/>
      <c r="B169" s="237"/>
      <c r="C169" s="249" t="s">
        <v>218</v>
      </c>
      <c r="D169" s="99"/>
      <c r="E169" s="238"/>
      <c r="F169" s="106"/>
      <c r="G169" s="239"/>
      <c r="H169" s="239">
        <v>250803.92</v>
      </c>
      <c r="I169" s="239"/>
      <c r="J169" s="239"/>
      <c r="K169" s="239"/>
      <c r="L169" s="239"/>
      <c r="M169" s="239"/>
      <c r="N169" s="239"/>
      <c r="O169" s="239"/>
      <c r="P169" s="250"/>
      <c r="Q169" s="240"/>
      <c r="R169" s="241"/>
      <c r="S169" s="242"/>
    </row>
    <row r="170" spans="1:19" ht="39" customHeight="1" x14ac:dyDescent="0.25">
      <c r="A170" s="17"/>
      <c r="B170" s="122"/>
      <c r="C170" s="132" t="s">
        <v>59</v>
      </c>
      <c r="D170" s="100" t="s">
        <v>217</v>
      </c>
      <c r="E170" s="126">
        <f>SUM(E167:E168)</f>
        <v>46931.755000000005</v>
      </c>
      <c r="F170" s="126"/>
      <c r="G170" s="105">
        <v>156747.70000000001</v>
      </c>
      <c r="H170" s="105">
        <f>SUM(H167:H169)</f>
        <v>1938166.9149999998</v>
      </c>
      <c r="I170" s="105">
        <f>SUM(I167:I168)</f>
        <v>28190.032280000003</v>
      </c>
      <c r="J170" s="105">
        <f>SUM(J167:J168)</f>
        <v>406690.87200000003</v>
      </c>
      <c r="K170" s="105"/>
      <c r="L170" s="105"/>
      <c r="M170" s="105"/>
      <c r="N170" s="105"/>
      <c r="O170" s="105"/>
      <c r="P170" s="185" t="s">
        <v>194</v>
      </c>
      <c r="Q170" s="48"/>
      <c r="R170" s="58"/>
      <c r="S170" s="219"/>
    </row>
    <row r="171" spans="1:19" x14ac:dyDescent="0.25">
      <c r="A171" s="22"/>
      <c r="B171" s="23"/>
      <c r="C171" s="24"/>
      <c r="D171" s="41"/>
      <c r="E171" s="59"/>
      <c r="F171" s="35"/>
      <c r="G171" s="60"/>
      <c r="H171" s="60"/>
      <c r="I171" s="60"/>
      <c r="J171" s="60"/>
      <c r="K171" s="60"/>
      <c r="L171" s="35"/>
      <c r="M171" s="35"/>
      <c r="N171" s="36"/>
      <c r="O171" s="36"/>
      <c r="P171" s="35"/>
      <c r="Q171" s="36"/>
      <c r="R171" s="54"/>
      <c r="S171" s="55"/>
    </row>
    <row r="172" spans="1:19" ht="33.75" customHeight="1" x14ac:dyDescent="0.25">
      <c r="A172" s="19"/>
      <c r="B172" s="115" t="s">
        <v>40</v>
      </c>
      <c r="C172" s="131" t="s">
        <v>41</v>
      </c>
      <c r="D172" s="133">
        <v>2011</v>
      </c>
      <c r="E172" s="90">
        <v>2413.5300000000002</v>
      </c>
      <c r="F172" s="118">
        <v>3.18</v>
      </c>
      <c r="G172" s="118">
        <f>E172*F172</f>
        <v>7675.0254000000014</v>
      </c>
      <c r="H172" s="118">
        <v>7240.59</v>
      </c>
      <c r="I172" s="118"/>
      <c r="J172" s="118"/>
      <c r="K172" s="94"/>
      <c r="L172" s="134"/>
      <c r="M172" s="134"/>
      <c r="N172" s="135"/>
      <c r="O172" s="135"/>
      <c r="P172" s="94">
        <v>0</v>
      </c>
      <c r="Q172" s="61"/>
      <c r="R172" s="62"/>
      <c r="S172" s="51"/>
    </row>
    <row r="173" spans="1:19" ht="28.5" customHeight="1" x14ac:dyDescent="0.25">
      <c r="A173" s="19"/>
      <c r="B173" s="115"/>
      <c r="C173" s="131" t="s">
        <v>66</v>
      </c>
      <c r="D173" s="133">
        <v>2011</v>
      </c>
      <c r="E173" s="90">
        <v>331.88</v>
      </c>
      <c r="F173" s="118">
        <v>3.18</v>
      </c>
      <c r="G173" s="118">
        <f>E173*F173</f>
        <v>1055.3784000000001</v>
      </c>
      <c r="H173" s="118">
        <v>995.64</v>
      </c>
      <c r="I173" s="118"/>
      <c r="J173" s="118"/>
      <c r="K173" s="94"/>
      <c r="L173" s="134"/>
      <c r="M173" s="134"/>
      <c r="N173" s="135"/>
      <c r="O173" s="135"/>
      <c r="P173" s="94"/>
      <c r="Q173" s="61"/>
      <c r="R173" s="62"/>
      <c r="S173" s="51"/>
    </row>
    <row r="174" spans="1:19" ht="30" customHeight="1" x14ac:dyDescent="0.25">
      <c r="A174" s="15"/>
      <c r="B174" s="119"/>
      <c r="C174" s="136" t="s">
        <v>41</v>
      </c>
      <c r="D174" s="120">
        <v>2012</v>
      </c>
      <c r="E174" s="137">
        <v>2260.2800000000002</v>
      </c>
      <c r="F174" s="118">
        <v>3.18</v>
      </c>
      <c r="G174" s="118">
        <v>6444.64</v>
      </c>
      <c r="H174" s="94">
        <v>20342.52</v>
      </c>
      <c r="I174" s="84"/>
      <c r="J174" s="84"/>
      <c r="K174" s="94"/>
      <c r="L174" s="138"/>
      <c r="M174" s="138"/>
      <c r="N174" s="139"/>
      <c r="O174" s="139"/>
      <c r="P174" s="94">
        <v>0</v>
      </c>
      <c r="Q174" s="63"/>
      <c r="R174" s="64"/>
      <c r="S174" s="51"/>
    </row>
    <row r="175" spans="1:19" ht="30" customHeight="1" x14ac:dyDescent="0.25">
      <c r="A175" s="15"/>
      <c r="B175" s="119"/>
      <c r="C175" s="136" t="s">
        <v>66</v>
      </c>
      <c r="D175" s="120">
        <v>2012</v>
      </c>
      <c r="E175" s="137">
        <v>489.61</v>
      </c>
      <c r="F175" s="118">
        <v>3.18</v>
      </c>
      <c r="G175" s="118">
        <v>1556.96</v>
      </c>
      <c r="H175" s="94">
        <v>4406.49</v>
      </c>
      <c r="I175" s="84"/>
      <c r="J175" s="84"/>
      <c r="K175" s="94"/>
      <c r="L175" s="138"/>
      <c r="M175" s="138"/>
      <c r="N175" s="139"/>
      <c r="O175" s="139"/>
      <c r="P175" s="94"/>
      <c r="Q175" s="63"/>
      <c r="R175" s="64"/>
      <c r="S175" s="51"/>
    </row>
    <row r="176" spans="1:19" ht="40.5" customHeight="1" x14ac:dyDescent="0.25">
      <c r="A176" s="17"/>
      <c r="B176" s="122"/>
      <c r="C176" s="132" t="s">
        <v>41</v>
      </c>
      <c r="D176" s="96" t="s">
        <v>25</v>
      </c>
      <c r="E176" s="89">
        <f>SUM(E172:E175)</f>
        <v>5495.3</v>
      </c>
      <c r="F176" s="89"/>
      <c r="G176" s="87">
        <f t="shared" ref="G176:H176" si="40">SUM(G172:G175)</f>
        <v>16732.003800000002</v>
      </c>
      <c r="H176" s="87">
        <f t="shared" si="40"/>
        <v>32985.24</v>
      </c>
      <c r="I176" s="87"/>
      <c r="J176" s="87"/>
      <c r="K176" s="87"/>
      <c r="L176" s="114"/>
      <c r="M176" s="114"/>
      <c r="N176" s="140"/>
      <c r="O176" s="140"/>
      <c r="P176" s="87">
        <v>0</v>
      </c>
      <c r="Q176" s="65"/>
      <c r="R176" s="66"/>
      <c r="S176" s="50"/>
    </row>
    <row r="177" spans="1:19" ht="30" customHeight="1" x14ac:dyDescent="0.25">
      <c r="A177" s="15"/>
      <c r="B177" s="119"/>
      <c r="C177" s="136" t="s">
        <v>41</v>
      </c>
      <c r="D177" s="120">
        <v>2013</v>
      </c>
      <c r="E177" s="137">
        <v>2300.31</v>
      </c>
      <c r="F177" s="118">
        <v>3.18</v>
      </c>
      <c r="G177" s="94">
        <f>E177*F177</f>
        <v>7314.9858000000004</v>
      </c>
      <c r="H177" s="94">
        <v>34504.65</v>
      </c>
      <c r="I177" s="84"/>
      <c r="J177" s="84"/>
      <c r="K177" s="94"/>
      <c r="L177" s="138"/>
      <c r="M177" s="138"/>
      <c r="N177" s="139"/>
      <c r="O177" s="139"/>
      <c r="P177" s="94">
        <v>0</v>
      </c>
      <c r="Q177" s="63"/>
      <c r="R177" s="64"/>
      <c r="S177" s="51"/>
    </row>
    <row r="178" spans="1:19" ht="27.75" customHeight="1" x14ac:dyDescent="0.25">
      <c r="A178" s="15"/>
      <c r="B178" s="119"/>
      <c r="C178" s="136" t="s">
        <v>66</v>
      </c>
      <c r="D178" s="120">
        <v>2013</v>
      </c>
      <c r="E178" s="137">
        <v>328.8</v>
      </c>
      <c r="F178" s="118">
        <v>3.18</v>
      </c>
      <c r="G178" s="94">
        <f>E178*F178</f>
        <v>1045.5840000000001</v>
      </c>
      <c r="H178" s="94">
        <v>4932</v>
      </c>
      <c r="I178" s="84"/>
      <c r="J178" s="84"/>
      <c r="K178" s="94"/>
      <c r="L178" s="138"/>
      <c r="M178" s="138"/>
      <c r="N178" s="139"/>
      <c r="O178" s="139"/>
      <c r="P178" s="94"/>
      <c r="Q178" s="63"/>
      <c r="R178" s="64"/>
      <c r="S178" s="51"/>
    </row>
    <row r="179" spans="1:19" ht="36.75" customHeight="1" x14ac:dyDescent="0.25">
      <c r="A179" s="17"/>
      <c r="B179" s="122"/>
      <c r="C179" s="132" t="s">
        <v>41</v>
      </c>
      <c r="D179" s="96" t="s">
        <v>38</v>
      </c>
      <c r="E179" s="89">
        <f>SUM(E176:E178)</f>
        <v>8124.4100000000008</v>
      </c>
      <c r="F179" s="89"/>
      <c r="G179" s="87">
        <f t="shared" ref="G179:H179" si="41">SUM(G176:G178)</f>
        <v>25092.5736</v>
      </c>
      <c r="H179" s="87">
        <f t="shared" si="41"/>
        <v>72421.89</v>
      </c>
      <c r="I179" s="87"/>
      <c r="J179" s="87"/>
      <c r="K179" s="87"/>
      <c r="L179" s="114"/>
      <c r="M179" s="114"/>
      <c r="N179" s="140"/>
      <c r="O179" s="140"/>
      <c r="P179" s="87">
        <v>0</v>
      </c>
      <c r="Q179" s="65"/>
      <c r="R179" s="66"/>
      <c r="S179" s="50"/>
    </row>
    <row r="180" spans="1:19" ht="25.5" x14ac:dyDescent="0.25">
      <c r="A180" s="15"/>
      <c r="B180" s="119"/>
      <c r="C180" s="136" t="s">
        <v>41</v>
      </c>
      <c r="D180" s="120">
        <v>2014</v>
      </c>
      <c r="E180" s="137">
        <v>2139.48</v>
      </c>
      <c r="F180" s="118">
        <v>3.18</v>
      </c>
      <c r="G180" s="94">
        <f>E180*F180</f>
        <v>6803.5464000000002</v>
      </c>
      <c r="H180" s="94">
        <v>47068.56</v>
      </c>
      <c r="I180" s="84"/>
      <c r="J180" s="84"/>
      <c r="K180" s="94"/>
      <c r="L180" s="138"/>
      <c r="M180" s="138"/>
      <c r="N180" s="139"/>
      <c r="O180" s="139"/>
      <c r="P180" s="94">
        <v>0</v>
      </c>
      <c r="Q180" s="63"/>
      <c r="R180" s="64"/>
      <c r="S180" s="51"/>
    </row>
    <row r="181" spans="1:19" ht="25.5" x14ac:dyDescent="0.25">
      <c r="A181" s="15"/>
      <c r="B181" s="119"/>
      <c r="C181" s="136" t="s">
        <v>66</v>
      </c>
      <c r="D181" s="120">
        <v>2014</v>
      </c>
      <c r="E181" s="137">
        <v>1451.76</v>
      </c>
      <c r="F181" s="118">
        <v>3.18</v>
      </c>
      <c r="G181" s="94">
        <f>E181*F181</f>
        <v>4616.5968000000003</v>
      </c>
      <c r="H181" s="94">
        <v>31938.720000000001</v>
      </c>
      <c r="I181" s="84"/>
      <c r="J181" s="84"/>
      <c r="K181" s="94"/>
      <c r="L181" s="138"/>
      <c r="M181" s="138"/>
      <c r="N181" s="139"/>
      <c r="O181" s="139"/>
      <c r="P181" s="94"/>
      <c r="Q181" s="63"/>
      <c r="R181" s="64"/>
      <c r="S181" s="51"/>
    </row>
    <row r="182" spans="1:19" ht="37.5" customHeight="1" x14ac:dyDescent="0.25">
      <c r="A182" s="17"/>
      <c r="B182" s="122"/>
      <c r="C182" s="132" t="s">
        <v>41</v>
      </c>
      <c r="D182" s="96" t="s">
        <v>24</v>
      </c>
      <c r="E182" s="89">
        <f>SUM(E179:E181)</f>
        <v>11715.650000000001</v>
      </c>
      <c r="F182" s="89"/>
      <c r="G182" s="87">
        <f t="shared" ref="G182:H182" si="42">SUM(G179:G181)</f>
        <v>36512.716800000002</v>
      </c>
      <c r="H182" s="87">
        <f t="shared" si="42"/>
        <v>151429.16999999998</v>
      </c>
      <c r="I182" s="87"/>
      <c r="J182" s="87"/>
      <c r="K182" s="87"/>
      <c r="L182" s="114"/>
      <c r="M182" s="114"/>
      <c r="N182" s="140"/>
      <c r="O182" s="140"/>
      <c r="P182" s="87">
        <v>0</v>
      </c>
      <c r="Q182" s="65"/>
      <c r="R182" s="66"/>
      <c r="S182" s="50"/>
    </row>
    <row r="183" spans="1:19" ht="30" customHeight="1" x14ac:dyDescent="0.25">
      <c r="A183" s="15"/>
      <c r="B183" s="119"/>
      <c r="C183" s="136" t="s">
        <v>41</v>
      </c>
      <c r="D183" s="120">
        <v>2015</v>
      </c>
      <c r="E183" s="137">
        <v>1891.8</v>
      </c>
      <c r="F183" s="141">
        <v>3.37</v>
      </c>
      <c r="G183" s="94">
        <f>E183*F183</f>
        <v>6375.366</v>
      </c>
      <c r="H183" s="94">
        <v>52970.400000000001</v>
      </c>
      <c r="I183" s="84"/>
      <c r="J183" s="84"/>
      <c r="K183" s="94"/>
      <c r="L183" s="138"/>
      <c r="M183" s="138"/>
      <c r="N183" s="139"/>
      <c r="O183" s="139"/>
      <c r="P183" s="94">
        <v>0</v>
      </c>
      <c r="Q183" s="63"/>
      <c r="R183" s="64"/>
      <c r="S183" s="51"/>
    </row>
    <row r="184" spans="1:19" ht="30" customHeight="1" x14ac:dyDescent="0.25">
      <c r="A184" s="15"/>
      <c r="B184" s="119"/>
      <c r="C184" s="136" t="s">
        <v>66</v>
      </c>
      <c r="D184" s="120">
        <v>2015</v>
      </c>
      <c r="E184" s="137">
        <v>332.45</v>
      </c>
      <c r="F184" s="141">
        <v>3.37</v>
      </c>
      <c r="G184" s="94">
        <f>E184*F184</f>
        <v>1120.3565000000001</v>
      </c>
      <c r="H184" s="94">
        <v>9308.6</v>
      </c>
      <c r="I184" s="84"/>
      <c r="J184" s="84"/>
      <c r="K184" s="94"/>
      <c r="L184" s="138"/>
      <c r="M184" s="138"/>
      <c r="N184" s="139"/>
      <c r="O184" s="139"/>
      <c r="P184" s="94"/>
      <c r="Q184" s="63"/>
      <c r="R184" s="64"/>
      <c r="S184" s="51"/>
    </row>
    <row r="185" spans="1:19" ht="39" customHeight="1" x14ac:dyDescent="0.25">
      <c r="A185" s="17"/>
      <c r="B185" s="122"/>
      <c r="C185" s="132" t="s">
        <v>41</v>
      </c>
      <c r="D185" s="96" t="s">
        <v>26</v>
      </c>
      <c r="E185" s="89">
        <f>SUM(E182:E184)</f>
        <v>13939.900000000001</v>
      </c>
      <c r="F185" s="89"/>
      <c r="G185" s="87">
        <f t="shared" ref="G185:H185" si="43">SUM(G182:G184)</f>
        <v>44008.439300000005</v>
      </c>
      <c r="H185" s="87">
        <f t="shared" si="43"/>
        <v>213708.16999999998</v>
      </c>
      <c r="I185" s="87"/>
      <c r="J185" s="87"/>
      <c r="K185" s="87"/>
      <c r="L185" s="114"/>
      <c r="M185" s="114"/>
      <c r="N185" s="140"/>
      <c r="O185" s="140"/>
      <c r="P185" s="87">
        <v>0</v>
      </c>
      <c r="Q185" s="65"/>
      <c r="R185" s="66"/>
      <c r="S185" s="50"/>
    </row>
    <row r="186" spans="1:19" ht="32.25" customHeight="1" x14ac:dyDescent="0.25">
      <c r="A186" s="15"/>
      <c r="B186" s="119"/>
      <c r="C186" s="136" t="s">
        <v>41</v>
      </c>
      <c r="D186" s="99" t="s">
        <v>29</v>
      </c>
      <c r="E186" s="93">
        <v>332.94</v>
      </c>
      <c r="F186" s="142">
        <v>3.37</v>
      </c>
      <c r="G186" s="94">
        <f>E186*F186</f>
        <v>1122.0078000000001</v>
      </c>
      <c r="H186" s="94">
        <v>11985.84</v>
      </c>
      <c r="I186" s="94"/>
      <c r="J186" s="94"/>
      <c r="K186" s="94"/>
      <c r="L186" s="138"/>
      <c r="M186" s="138"/>
      <c r="N186" s="139"/>
      <c r="O186" s="139"/>
      <c r="P186" s="84">
        <v>37200</v>
      </c>
      <c r="Q186" s="63"/>
      <c r="R186" s="64"/>
      <c r="S186" s="51"/>
    </row>
    <row r="187" spans="1:19" ht="27" customHeight="1" x14ac:dyDescent="0.25">
      <c r="A187" s="15"/>
      <c r="B187" s="119"/>
      <c r="C187" s="136" t="s">
        <v>66</v>
      </c>
      <c r="D187" s="99" t="s">
        <v>29</v>
      </c>
      <c r="E187" s="93">
        <v>80.14</v>
      </c>
      <c r="F187" s="142">
        <v>3.37</v>
      </c>
      <c r="G187" s="94">
        <f>E187*F187</f>
        <v>270.0718</v>
      </c>
      <c r="H187" s="94">
        <v>2885.04</v>
      </c>
      <c r="I187" s="94"/>
      <c r="J187" s="94"/>
      <c r="K187" s="94"/>
      <c r="L187" s="138"/>
      <c r="M187" s="138"/>
      <c r="N187" s="139"/>
      <c r="O187" s="139"/>
      <c r="P187" s="84"/>
      <c r="Q187" s="63"/>
      <c r="R187" s="64"/>
      <c r="S187" s="51"/>
    </row>
    <row r="188" spans="1:19" ht="38.25" x14ac:dyDescent="0.25">
      <c r="A188" s="17"/>
      <c r="B188" s="122"/>
      <c r="C188" s="132" t="s">
        <v>41</v>
      </c>
      <c r="D188" s="100" t="s">
        <v>30</v>
      </c>
      <c r="E188" s="89">
        <f>SUM(E185:E187)</f>
        <v>14352.980000000001</v>
      </c>
      <c r="F188" s="89"/>
      <c r="G188" s="87">
        <f t="shared" ref="G188:H188" si="44">SUM(G185:G187)</f>
        <v>45400.518900000003</v>
      </c>
      <c r="H188" s="87">
        <f t="shared" si="44"/>
        <v>228579.05</v>
      </c>
      <c r="I188" s="87"/>
      <c r="J188" s="87"/>
      <c r="K188" s="87"/>
      <c r="L188" s="114"/>
      <c r="M188" s="114"/>
      <c r="N188" s="140"/>
      <c r="O188" s="140"/>
      <c r="P188" s="87">
        <v>37200</v>
      </c>
      <c r="Q188" s="65"/>
      <c r="R188" s="66"/>
      <c r="S188" s="50"/>
    </row>
    <row r="189" spans="1:19" ht="26.25" customHeight="1" x14ac:dyDescent="0.25">
      <c r="A189" s="15"/>
      <c r="B189" s="119"/>
      <c r="C189" s="136" t="s">
        <v>41</v>
      </c>
      <c r="D189" s="99" t="s">
        <v>31</v>
      </c>
      <c r="E189" s="93">
        <v>351.86</v>
      </c>
      <c r="F189" s="142">
        <v>3.37</v>
      </c>
      <c r="G189" s="94">
        <f>E189*F189</f>
        <v>1185.7682</v>
      </c>
      <c r="H189" s="94">
        <v>12666.96</v>
      </c>
      <c r="I189" s="94"/>
      <c r="J189" s="94"/>
      <c r="K189" s="94"/>
      <c r="L189" s="138"/>
      <c r="M189" s="138"/>
      <c r="N189" s="139"/>
      <c r="O189" s="139"/>
      <c r="P189" s="84">
        <v>0</v>
      </c>
      <c r="Q189" s="63"/>
      <c r="R189" s="64"/>
      <c r="S189" s="51"/>
    </row>
    <row r="190" spans="1:19" ht="38.25" x14ac:dyDescent="0.25">
      <c r="A190" s="15"/>
      <c r="B190" s="119"/>
      <c r="C190" s="101" t="s">
        <v>43</v>
      </c>
      <c r="D190" s="99"/>
      <c r="E190" s="93">
        <v>14.26</v>
      </c>
      <c r="F190" s="141">
        <v>0</v>
      </c>
      <c r="G190" s="142">
        <v>0</v>
      </c>
      <c r="H190" s="142">
        <v>0</v>
      </c>
      <c r="I190" s="141"/>
      <c r="J190" s="141"/>
      <c r="K190" s="94"/>
      <c r="L190" s="138"/>
      <c r="M190" s="138"/>
      <c r="N190" s="139"/>
      <c r="O190" s="139"/>
      <c r="P190" s="84"/>
      <c r="Q190" s="63"/>
      <c r="R190" s="64"/>
      <c r="S190" s="51"/>
    </row>
    <row r="191" spans="1:19" ht="26.25" customHeight="1" x14ac:dyDescent="0.25">
      <c r="A191" s="15"/>
      <c r="B191" s="119"/>
      <c r="C191" s="149" t="s">
        <v>66</v>
      </c>
      <c r="D191" s="99" t="s">
        <v>31</v>
      </c>
      <c r="E191" s="93">
        <v>80.72</v>
      </c>
      <c r="F191" s="141">
        <v>3.37</v>
      </c>
      <c r="G191" s="94">
        <f t="shared" ref="G191" si="45">E191*F191</f>
        <v>272.02640000000002</v>
      </c>
      <c r="H191" s="94">
        <v>2905.92</v>
      </c>
      <c r="I191" s="84"/>
      <c r="J191" s="84"/>
      <c r="K191" s="94"/>
      <c r="L191" s="138"/>
      <c r="M191" s="138"/>
      <c r="N191" s="139"/>
      <c r="O191" s="139"/>
      <c r="P191" s="84"/>
      <c r="Q191" s="63"/>
      <c r="R191" s="64"/>
      <c r="S191" s="51"/>
    </row>
    <row r="192" spans="1:19" ht="45.75" customHeight="1" x14ac:dyDescent="0.25">
      <c r="A192" s="17"/>
      <c r="B192" s="122"/>
      <c r="C192" s="132" t="s">
        <v>41</v>
      </c>
      <c r="D192" s="100" t="s">
        <v>32</v>
      </c>
      <c r="E192" s="89">
        <f>SUM(E188:E191)</f>
        <v>14799.820000000002</v>
      </c>
      <c r="F192" s="89"/>
      <c r="G192" s="87">
        <f t="shared" ref="G192:H192" si="46">SUM(G188:G191)</f>
        <v>46858.313500000004</v>
      </c>
      <c r="H192" s="87">
        <f t="shared" si="46"/>
        <v>244151.93</v>
      </c>
      <c r="I192" s="87"/>
      <c r="J192" s="87"/>
      <c r="K192" s="87"/>
      <c r="L192" s="114"/>
      <c r="M192" s="114"/>
      <c r="N192" s="140"/>
      <c r="O192" s="140"/>
      <c r="P192" s="87">
        <v>37200</v>
      </c>
      <c r="Q192" s="65"/>
      <c r="R192" s="66"/>
      <c r="S192" s="50"/>
    </row>
    <row r="193" spans="1:20" ht="27.75" customHeight="1" x14ac:dyDescent="0.25">
      <c r="A193" s="15"/>
      <c r="B193" s="119"/>
      <c r="C193" s="136" t="s">
        <v>41</v>
      </c>
      <c r="D193" s="99" t="s">
        <v>33</v>
      </c>
      <c r="E193" s="137">
        <v>364.82</v>
      </c>
      <c r="F193" s="141">
        <v>3.37</v>
      </c>
      <c r="G193" s="94">
        <f>E193*F193</f>
        <v>1229.4434000000001</v>
      </c>
      <c r="H193" s="94">
        <v>13133.52</v>
      </c>
      <c r="I193" s="84"/>
      <c r="J193" s="84"/>
      <c r="K193" s="94"/>
      <c r="L193" s="138"/>
      <c r="M193" s="134"/>
      <c r="N193" s="139"/>
      <c r="O193" s="139"/>
      <c r="P193" s="84">
        <v>0</v>
      </c>
      <c r="Q193" s="63"/>
      <c r="R193" s="64"/>
      <c r="S193" s="51"/>
    </row>
    <row r="194" spans="1:20" ht="25.5" x14ac:dyDescent="0.25">
      <c r="A194" s="150"/>
      <c r="B194" s="151"/>
      <c r="C194" s="136" t="s">
        <v>66</v>
      </c>
      <c r="D194" s="99" t="s">
        <v>33</v>
      </c>
      <c r="E194" s="152">
        <v>85.42</v>
      </c>
      <c r="F194" s="153">
        <v>3.37</v>
      </c>
      <c r="G194" s="94">
        <f>E194*F194</f>
        <v>287.86540000000002</v>
      </c>
      <c r="H194" s="148">
        <v>3075.12</v>
      </c>
      <c r="I194" s="154"/>
      <c r="J194" s="154"/>
      <c r="K194" s="94"/>
      <c r="L194" s="155"/>
      <c r="M194" s="156"/>
      <c r="N194" s="157"/>
      <c r="O194" s="157"/>
      <c r="P194" s="84"/>
      <c r="Q194" s="158"/>
      <c r="R194" s="159"/>
      <c r="S194" s="51"/>
    </row>
    <row r="195" spans="1:20" ht="42" customHeight="1" x14ac:dyDescent="0.25">
      <c r="A195" s="25"/>
      <c r="B195" s="143"/>
      <c r="C195" s="132" t="s">
        <v>41</v>
      </c>
      <c r="D195" s="100" t="s">
        <v>35</v>
      </c>
      <c r="E195" s="144">
        <f>SUM(E192:E194)</f>
        <v>15250.060000000001</v>
      </c>
      <c r="F195" s="144"/>
      <c r="G195" s="87">
        <f t="shared" ref="G195:H195" si="47">SUM(G192:G194)</f>
        <v>48375.62230000001</v>
      </c>
      <c r="H195" s="87">
        <f t="shared" si="47"/>
        <v>260360.56999999998</v>
      </c>
      <c r="I195" s="87"/>
      <c r="J195" s="87"/>
      <c r="K195" s="87"/>
      <c r="L195" s="145"/>
      <c r="M195" s="145"/>
      <c r="N195" s="146"/>
      <c r="O195" s="146"/>
      <c r="P195" s="87">
        <v>37200</v>
      </c>
      <c r="Q195" s="67"/>
      <c r="R195" s="68"/>
      <c r="S195" s="50"/>
    </row>
    <row r="196" spans="1:20" ht="25.5" x14ac:dyDescent="0.25">
      <c r="A196" s="16"/>
      <c r="B196" s="119"/>
      <c r="C196" s="136" t="s">
        <v>41</v>
      </c>
      <c r="D196" s="99" t="s">
        <v>34</v>
      </c>
      <c r="E196" s="137">
        <v>360.98</v>
      </c>
      <c r="F196" s="141">
        <v>3.37</v>
      </c>
      <c r="G196" s="94">
        <f>E196*F196</f>
        <v>1216.5026</v>
      </c>
      <c r="H196" s="94">
        <v>12995.28</v>
      </c>
      <c r="I196" s="84"/>
      <c r="J196" s="84"/>
      <c r="K196" s="94"/>
      <c r="L196" s="139"/>
      <c r="M196" s="139"/>
      <c r="N196" s="139"/>
      <c r="O196" s="139"/>
      <c r="P196" s="84">
        <v>0</v>
      </c>
      <c r="Q196" s="63"/>
      <c r="R196" s="69"/>
      <c r="S196" s="51"/>
      <c r="T196" s="2"/>
    </row>
    <row r="197" spans="1:20" ht="25.5" x14ac:dyDescent="0.25">
      <c r="A197" s="16"/>
      <c r="B197" s="119"/>
      <c r="C197" s="136" t="s">
        <v>66</v>
      </c>
      <c r="D197" s="99" t="s">
        <v>34</v>
      </c>
      <c r="E197" s="152">
        <v>74.42</v>
      </c>
      <c r="F197" s="141">
        <v>3.37</v>
      </c>
      <c r="G197" s="94">
        <f>E197*F197</f>
        <v>250.7954</v>
      </c>
      <c r="H197" s="148">
        <v>2679.12</v>
      </c>
      <c r="I197" s="154"/>
      <c r="J197" s="154"/>
      <c r="K197" s="94"/>
      <c r="L197" s="139"/>
      <c r="M197" s="139"/>
      <c r="N197" s="139"/>
      <c r="O197" s="139"/>
      <c r="P197" s="84"/>
      <c r="Q197" s="63"/>
      <c r="R197" s="69"/>
      <c r="S197" s="51"/>
      <c r="T197" s="2"/>
    </row>
    <row r="198" spans="1:20" ht="42.75" customHeight="1" x14ac:dyDescent="0.25">
      <c r="A198" s="18"/>
      <c r="B198" s="122"/>
      <c r="C198" s="132" t="s">
        <v>41</v>
      </c>
      <c r="D198" s="100" t="s">
        <v>36</v>
      </c>
      <c r="E198" s="144">
        <f>SUM(E195:E197)</f>
        <v>15685.460000000001</v>
      </c>
      <c r="F198" s="144"/>
      <c r="G198" s="87">
        <f t="shared" ref="G198:H198" si="48">SUM(G195:G197)</f>
        <v>49842.920300000013</v>
      </c>
      <c r="H198" s="87">
        <f t="shared" si="48"/>
        <v>276034.96999999997</v>
      </c>
      <c r="I198" s="87"/>
      <c r="J198" s="87"/>
      <c r="K198" s="87"/>
      <c r="L198" s="140"/>
      <c r="M198" s="140"/>
      <c r="N198" s="140"/>
      <c r="O198" s="140"/>
      <c r="P198" s="87">
        <v>37200</v>
      </c>
      <c r="Q198" s="65"/>
      <c r="R198" s="70"/>
      <c r="S198" s="50"/>
    </row>
    <row r="199" spans="1:20" s="2" customFormat="1" ht="25.5" x14ac:dyDescent="0.25">
      <c r="A199" s="20"/>
      <c r="B199" s="129"/>
      <c r="C199" s="136" t="s">
        <v>41</v>
      </c>
      <c r="D199" s="99" t="s">
        <v>57</v>
      </c>
      <c r="E199" s="147">
        <v>341.56</v>
      </c>
      <c r="F199" s="141">
        <v>3.37</v>
      </c>
      <c r="G199" s="148">
        <f>E199*F199</f>
        <v>1151.0572</v>
      </c>
      <c r="H199" s="148">
        <v>13662.4</v>
      </c>
      <c r="I199" s="148"/>
      <c r="J199" s="148"/>
      <c r="K199" s="94"/>
      <c r="L199" s="135"/>
      <c r="M199" s="135"/>
      <c r="N199" s="135"/>
      <c r="O199" s="135"/>
      <c r="P199" s="94">
        <v>0</v>
      </c>
      <c r="Q199" s="61"/>
      <c r="R199" s="71"/>
      <c r="S199" s="47"/>
    </row>
    <row r="200" spans="1:20" s="2" customFormat="1" ht="25.5" x14ac:dyDescent="0.25">
      <c r="A200" s="20"/>
      <c r="B200" s="129"/>
      <c r="C200" s="136" t="s">
        <v>66</v>
      </c>
      <c r="D200" s="99" t="s">
        <v>57</v>
      </c>
      <c r="E200" s="147">
        <v>32.36</v>
      </c>
      <c r="F200" s="153">
        <v>3.37</v>
      </c>
      <c r="G200" s="148">
        <f>E200*F200</f>
        <v>109.0532</v>
      </c>
      <c r="H200" s="148">
        <v>1294.4000000000001</v>
      </c>
      <c r="I200" s="148"/>
      <c r="J200" s="148"/>
      <c r="K200" s="94"/>
      <c r="L200" s="135"/>
      <c r="M200" s="135"/>
      <c r="N200" s="135"/>
      <c r="O200" s="135"/>
      <c r="P200" s="94"/>
      <c r="Q200" s="61"/>
      <c r="R200" s="71"/>
      <c r="S200" s="47"/>
    </row>
    <row r="201" spans="1:20" s="2" customFormat="1" ht="38.25" x14ac:dyDescent="0.25">
      <c r="A201" s="18"/>
      <c r="B201" s="122"/>
      <c r="C201" s="132" t="s">
        <v>41</v>
      </c>
      <c r="D201" s="100" t="s">
        <v>58</v>
      </c>
      <c r="E201" s="144">
        <f>SUM(E198:E200)</f>
        <v>16059.380000000001</v>
      </c>
      <c r="F201" s="144"/>
      <c r="G201" s="87">
        <f t="shared" ref="G201:H201" si="49">SUM(G198:G200)</f>
        <v>51103.030700000018</v>
      </c>
      <c r="H201" s="87">
        <f t="shared" si="49"/>
        <v>290991.77</v>
      </c>
      <c r="I201" s="87"/>
      <c r="J201" s="87"/>
      <c r="K201" s="87"/>
      <c r="L201" s="140"/>
      <c r="M201" s="140"/>
      <c r="N201" s="140"/>
      <c r="O201" s="140"/>
      <c r="P201" s="87">
        <v>37200</v>
      </c>
      <c r="Q201" s="65"/>
      <c r="R201" s="70"/>
      <c r="S201" s="50"/>
    </row>
    <row r="202" spans="1:20" s="2" customFormat="1" ht="25.5" x14ac:dyDescent="0.25">
      <c r="A202" s="20"/>
      <c r="B202" s="129"/>
      <c r="C202" s="136" t="s">
        <v>41</v>
      </c>
      <c r="D202" s="99" t="s">
        <v>61</v>
      </c>
      <c r="E202" s="147">
        <v>523.26</v>
      </c>
      <c r="F202" s="141">
        <v>3.37</v>
      </c>
      <c r="G202" s="148">
        <f>E202*F202</f>
        <v>1763.3861999999999</v>
      </c>
      <c r="H202" s="148">
        <v>20930.400000000001</v>
      </c>
      <c r="I202" s="148"/>
      <c r="J202" s="148"/>
      <c r="K202" s="94"/>
      <c r="L202" s="135"/>
      <c r="M202" s="135"/>
      <c r="N202" s="135"/>
      <c r="O202" s="135"/>
      <c r="P202" s="94">
        <v>43688.34</v>
      </c>
      <c r="Q202" s="61"/>
      <c r="R202" s="71"/>
      <c r="S202" s="47"/>
    </row>
    <row r="203" spans="1:20" s="2" customFormat="1" ht="25.5" x14ac:dyDescent="0.25">
      <c r="A203" s="20"/>
      <c r="B203" s="129"/>
      <c r="C203" s="136" t="s">
        <v>66</v>
      </c>
      <c r="D203" s="99" t="s">
        <v>61</v>
      </c>
      <c r="E203" s="147">
        <v>87.44</v>
      </c>
      <c r="F203" s="153">
        <v>3.37</v>
      </c>
      <c r="G203" s="148">
        <f>E203*F203</f>
        <v>294.6728</v>
      </c>
      <c r="H203" s="148">
        <v>3497.6</v>
      </c>
      <c r="I203" s="148"/>
      <c r="J203" s="148"/>
      <c r="K203" s="94"/>
      <c r="L203" s="135"/>
      <c r="M203" s="135"/>
      <c r="N203" s="135"/>
      <c r="O203" s="135"/>
      <c r="P203" s="94"/>
      <c r="Q203" s="61"/>
      <c r="R203" s="71"/>
      <c r="S203" s="47"/>
    </row>
    <row r="204" spans="1:20" s="2" customFormat="1" ht="39" customHeight="1" x14ac:dyDescent="0.25">
      <c r="A204" s="18"/>
      <c r="B204" s="122"/>
      <c r="C204" s="132" t="s">
        <v>41</v>
      </c>
      <c r="D204" s="100" t="s">
        <v>63</v>
      </c>
      <c r="E204" s="144">
        <f>SUM(E201:E203)</f>
        <v>16670.079999999998</v>
      </c>
      <c r="F204" s="144"/>
      <c r="G204" s="87">
        <f t="shared" ref="G204:H204" si="50">SUM(G201:G203)</f>
        <v>53161.089700000019</v>
      </c>
      <c r="H204" s="87">
        <f t="shared" si="50"/>
        <v>315419.77</v>
      </c>
      <c r="I204" s="87"/>
      <c r="J204" s="87"/>
      <c r="K204" s="87"/>
      <c r="L204" s="140"/>
      <c r="M204" s="140"/>
      <c r="N204" s="140"/>
      <c r="O204" s="140"/>
      <c r="P204" s="87">
        <f>SUM(P201:P202)</f>
        <v>80888.34</v>
      </c>
      <c r="Q204" s="65"/>
      <c r="R204" s="70"/>
      <c r="S204" s="50"/>
    </row>
    <row r="205" spans="1:20" s="2" customFormat="1" ht="29.25" customHeight="1" x14ac:dyDescent="0.25">
      <c r="A205" s="20"/>
      <c r="B205" s="129"/>
      <c r="C205" s="131" t="s">
        <v>41</v>
      </c>
      <c r="D205" s="99" t="s">
        <v>64</v>
      </c>
      <c r="E205" s="147">
        <v>573.9</v>
      </c>
      <c r="F205" s="153">
        <v>3.37</v>
      </c>
      <c r="G205" s="148">
        <f>E205*F205</f>
        <v>1934.0429999999999</v>
      </c>
      <c r="H205" s="148">
        <v>22956</v>
      </c>
      <c r="I205" s="148"/>
      <c r="J205" s="148"/>
      <c r="K205" s="148"/>
      <c r="L205" s="135"/>
      <c r="M205" s="135"/>
      <c r="N205" s="135"/>
      <c r="O205" s="135"/>
      <c r="P205" s="94">
        <v>0</v>
      </c>
      <c r="Q205" s="61"/>
      <c r="R205" s="71"/>
      <c r="S205" s="47"/>
    </row>
    <row r="206" spans="1:20" s="2" customFormat="1" ht="41.25" customHeight="1" x14ac:dyDescent="0.25">
      <c r="A206" s="20"/>
      <c r="B206" s="129"/>
      <c r="C206" s="131" t="s">
        <v>43</v>
      </c>
      <c r="D206" s="104"/>
      <c r="E206" s="147">
        <v>7.84</v>
      </c>
      <c r="F206" s="153">
        <v>0</v>
      </c>
      <c r="G206" s="148">
        <f t="shared" ref="G206:G207" si="51">E206*F206</f>
        <v>0</v>
      </c>
      <c r="H206" s="148">
        <f t="shared" ref="H206" si="52">F206*G206</f>
        <v>0</v>
      </c>
      <c r="I206" s="148"/>
      <c r="J206" s="148"/>
      <c r="K206" s="148"/>
      <c r="L206" s="135"/>
      <c r="M206" s="135"/>
      <c r="N206" s="135"/>
      <c r="O206" s="135"/>
      <c r="P206" s="94"/>
      <c r="Q206" s="61"/>
      <c r="R206" s="71"/>
      <c r="S206" s="47"/>
    </row>
    <row r="207" spans="1:20" s="2" customFormat="1" ht="27" customHeight="1" x14ac:dyDescent="0.25">
      <c r="A207" s="20"/>
      <c r="B207" s="129"/>
      <c r="C207" s="131" t="s">
        <v>66</v>
      </c>
      <c r="D207" s="99" t="s">
        <v>64</v>
      </c>
      <c r="E207" s="147">
        <v>92.44</v>
      </c>
      <c r="F207" s="153">
        <v>3.37</v>
      </c>
      <c r="G207" s="148">
        <f t="shared" si="51"/>
        <v>311.52280000000002</v>
      </c>
      <c r="H207" s="148">
        <v>3697.6</v>
      </c>
      <c r="I207" s="148"/>
      <c r="J207" s="148"/>
      <c r="K207" s="148"/>
      <c r="L207" s="135"/>
      <c r="M207" s="135"/>
      <c r="N207" s="135"/>
      <c r="O207" s="135"/>
      <c r="P207" s="94"/>
      <c r="Q207" s="61"/>
      <c r="R207" s="71"/>
      <c r="S207" s="47"/>
    </row>
    <row r="208" spans="1:20" s="2" customFormat="1" ht="41.25" customHeight="1" x14ac:dyDescent="0.25">
      <c r="A208" s="18"/>
      <c r="B208" s="122"/>
      <c r="C208" s="132" t="s">
        <v>41</v>
      </c>
      <c r="D208" s="100" t="s">
        <v>67</v>
      </c>
      <c r="E208" s="144">
        <f>SUM(E204:E207)</f>
        <v>17344.259999999998</v>
      </c>
      <c r="F208" s="144"/>
      <c r="G208" s="87">
        <f t="shared" ref="G208:H208" si="53">SUM(G204:G207)</f>
        <v>55406.655500000015</v>
      </c>
      <c r="H208" s="87">
        <f t="shared" si="53"/>
        <v>342073.37</v>
      </c>
      <c r="I208" s="87"/>
      <c r="J208" s="87"/>
      <c r="K208" s="87"/>
      <c r="L208" s="140"/>
      <c r="M208" s="140"/>
      <c r="N208" s="140"/>
      <c r="O208" s="140"/>
      <c r="P208" s="87">
        <v>80888.34</v>
      </c>
      <c r="Q208" s="65"/>
      <c r="R208" s="70"/>
      <c r="S208" s="50"/>
    </row>
    <row r="209" spans="1:19" s="2" customFormat="1" ht="28.5" customHeight="1" x14ac:dyDescent="0.25">
      <c r="A209" s="20"/>
      <c r="B209" s="129"/>
      <c r="C209" s="131" t="s">
        <v>41</v>
      </c>
      <c r="D209" s="99" t="s">
        <v>70</v>
      </c>
      <c r="E209" s="147">
        <v>326.77999999999997</v>
      </c>
      <c r="F209" s="153">
        <v>3.37</v>
      </c>
      <c r="G209" s="94">
        <v>1101.2485999999999</v>
      </c>
      <c r="H209" s="94">
        <v>13071.199999999999</v>
      </c>
      <c r="I209" s="94"/>
      <c r="J209" s="94"/>
      <c r="K209" s="94"/>
      <c r="L209" s="135"/>
      <c r="M209" s="135"/>
      <c r="N209" s="135"/>
      <c r="O209" s="135"/>
      <c r="P209" s="94">
        <v>0</v>
      </c>
      <c r="Q209" s="61"/>
      <c r="R209" s="71"/>
      <c r="S209" s="47"/>
    </row>
    <row r="210" spans="1:19" s="2" customFormat="1" ht="29.25" customHeight="1" x14ac:dyDescent="0.25">
      <c r="A210" s="20"/>
      <c r="B210" s="129"/>
      <c r="C210" s="131" t="s">
        <v>66</v>
      </c>
      <c r="D210" s="99" t="s">
        <v>70</v>
      </c>
      <c r="E210" s="147">
        <v>51.06</v>
      </c>
      <c r="F210" s="153">
        <v>3.37</v>
      </c>
      <c r="G210" s="94">
        <v>172.07220000000001</v>
      </c>
      <c r="H210" s="94">
        <v>2042.4</v>
      </c>
      <c r="I210" s="94"/>
      <c r="J210" s="94"/>
      <c r="K210" s="94"/>
      <c r="L210" s="135"/>
      <c r="M210" s="135"/>
      <c r="N210" s="135"/>
      <c r="O210" s="135"/>
      <c r="P210" s="94"/>
      <c r="Q210" s="61"/>
      <c r="R210" s="71"/>
      <c r="S210" s="47"/>
    </row>
    <row r="211" spans="1:19" s="2" customFormat="1" ht="41.25" customHeight="1" x14ac:dyDescent="0.25">
      <c r="A211" s="18"/>
      <c r="B211" s="122"/>
      <c r="C211" s="132" t="s">
        <v>41</v>
      </c>
      <c r="D211" s="100" t="s">
        <v>69</v>
      </c>
      <c r="E211" s="144">
        <f>SUM(E208:E210)</f>
        <v>17722.099999999999</v>
      </c>
      <c r="F211" s="144"/>
      <c r="G211" s="87">
        <f t="shared" ref="G211:H211" si="54">SUM(G208:G210)</f>
        <v>56679.976300000017</v>
      </c>
      <c r="H211" s="87">
        <f t="shared" si="54"/>
        <v>357186.97000000003</v>
      </c>
      <c r="I211" s="87"/>
      <c r="J211" s="87"/>
      <c r="K211" s="87"/>
      <c r="L211" s="140"/>
      <c r="M211" s="140"/>
      <c r="N211" s="140"/>
      <c r="O211" s="140"/>
      <c r="P211" s="87">
        <v>80888.34</v>
      </c>
      <c r="Q211" s="65"/>
      <c r="R211" s="70"/>
      <c r="S211" s="50"/>
    </row>
    <row r="212" spans="1:19" s="2" customFormat="1" ht="29.25" customHeight="1" x14ac:dyDescent="0.25">
      <c r="A212" s="20"/>
      <c r="B212" s="129"/>
      <c r="C212" s="131" t="s">
        <v>41</v>
      </c>
      <c r="D212" s="99" t="s">
        <v>71</v>
      </c>
      <c r="E212" s="147">
        <v>340.98</v>
      </c>
      <c r="F212" s="153">
        <v>3.45</v>
      </c>
      <c r="G212" s="94">
        <v>1176.3800000000001</v>
      </c>
      <c r="H212" s="94">
        <f>E212*45</f>
        <v>15344.1</v>
      </c>
      <c r="I212" s="94"/>
      <c r="J212" s="94"/>
      <c r="K212" s="94"/>
      <c r="L212" s="135"/>
      <c r="M212" s="135"/>
      <c r="N212" s="135"/>
      <c r="O212" s="135"/>
      <c r="P212" s="94">
        <v>64500</v>
      </c>
      <c r="Q212" s="61"/>
      <c r="R212" s="71"/>
      <c r="S212" s="47"/>
    </row>
    <row r="213" spans="1:19" s="2" customFormat="1" ht="27.75" customHeight="1" x14ac:dyDescent="0.25">
      <c r="A213" s="20"/>
      <c r="B213" s="129"/>
      <c r="C213" s="131" t="s">
        <v>66</v>
      </c>
      <c r="D213" s="99" t="s">
        <v>71</v>
      </c>
      <c r="E213" s="147">
        <v>75.040000000000006</v>
      </c>
      <c r="F213" s="153">
        <v>3.45</v>
      </c>
      <c r="G213" s="94">
        <f>SUM(E213*F213)</f>
        <v>258.88800000000003</v>
      </c>
      <c r="H213" s="94">
        <f>SUM(E213*45)</f>
        <v>3376.8</v>
      </c>
      <c r="I213" s="94"/>
      <c r="J213" s="94"/>
      <c r="K213" s="94"/>
      <c r="L213" s="135"/>
      <c r="M213" s="135"/>
      <c r="N213" s="135"/>
      <c r="O213" s="135"/>
      <c r="P213" s="94"/>
      <c r="Q213" s="61"/>
      <c r="R213" s="71"/>
      <c r="S213" s="47"/>
    </row>
    <row r="214" spans="1:19" s="2" customFormat="1" ht="45" customHeight="1" x14ac:dyDescent="0.25">
      <c r="A214" s="18"/>
      <c r="B214" s="122"/>
      <c r="C214" s="132" t="s">
        <v>41</v>
      </c>
      <c r="D214" s="100" t="s">
        <v>72</v>
      </c>
      <c r="E214" s="144">
        <f>SUM(E211:E213)</f>
        <v>18138.12</v>
      </c>
      <c r="F214" s="144"/>
      <c r="G214" s="87">
        <f t="shared" ref="G214:H214" si="55">SUM(G211:G213)</f>
        <v>58115.244300000013</v>
      </c>
      <c r="H214" s="87">
        <f t="shared" si="55"/>
        <v>375907.87</v>
      </c>
      <c r="I214" s="87"/>
      <c r="J214" s="87"/>
      <c r="K214" s="87"/>
      <c r="L214" s="140"/>
      <c r="M214" s="140"/>
      <c r="N214" s="140"/>
      <c r="O214" s="140"/>
      <c r="P214" s="87">
        <f>SUM(P211:P213)</f>
        <v>145388.34</v>
      </c>
      <c r="Q214" s="65"/>
      <c r="R214" s="70"/>
      <c r="S214" s="50"/>
    </row>
    <row r="215" spans="1:19" s="2" customFormat="1" ht="32.25" customHeight="1" x14ac:dyDescent="0.25">
      <c r="A215" s="20"/>
      <c r="B215" s="129"/>
      <c r="C215" s="131" t="s">
        <v>41</v>
      </c>
      <c r="D215" s="99" t="s">
        <v>73</v>
      </c>
      <c r="E215" s="147">
        <v>379.58</v>
      </c>
      <c r="F215" s="153">
        <v>3.45</v>
      </c>
      <c r="G215" s="94">
        <f>E215*F215</f>
        <v>1309.5509999999999</v>
      </c>
      <c r="H215" s="94">
        <f>E215*45</f>
        <v>17081.099999999999</v>
      </c>
      <c r="I215" s="94"/>
      <c r="J215" s="94"/>
      <c r="K215" s="94"/>
      <c r="L215" s="135"/>
      <c r="M215" s="135"/>
      <c r="N215" s="135"/>
      <c r="O215" s="135"/>
      <c r="P215" s="94">
        <v>0</v>
      </c>
      <c r="Q215" s="61"/>
      <c r="R215" s="71"/>
      <c r="S215" s="47"/>
    </row>
    <row r="216" spans="1:19" s="2" customFormat="1" ht="27" customHeight="1" x14ac:dyDescent="0.25">
      <c r="A216" s="20"/>
      <c r="B216" s="129"/>
      <c r="C216" s="131" t="s">
        <v>66</v>
      </c>
      <c r="D216" s="99" t="s">
        <v>73</v>
      </c>
      <c r="E216" s="147">
        <v>92.88</v>
      </c>
      <c r="F216" s="153">
        <v>3.45</v>
      </c>
      <c r="G216" s="94">
        <f>E216*F216</f>
        <v>320.43599999999998</v>
      </c>
      <c r="H216" s="94">
        <f>E216*45</f>
        <v>4179.5999999999995</v>
      </c>
      <c r="I216" s="94"/>
      <c r="J216" s="94"/>
      <c r="K216" s="94"/>
      <c r="L216" s="135"/>
      <c r="M216" s="135"/>
      <c r="N216" s="135"/>
      <c r="O216" s="135"/>
      <c r="P216" s="94">
        <v>0</v>
      </c>
      <c r="Q216" s="61"/>
      <c r="R216" s="71"/>
      <c r="S216" s="47"/>
    </row>
    <row r="217" spans="1:19" s="2" customFormat="1" ht="41.25" customHeight="1" x14ac:dyDescent="0.25">
      <c r="A217" s="18"/>
      <c r="B217" s="122"/>
      <c r="C217" s="132" t="s">
        <v>41</v>
      </c>
      <c r="D217" s="100" t="s">
        <v>74</v>
      </c>
      <c r="E217" s="144">
        <f>SUM(E214:E216)</f>
        <v>18610.580000000002</v>
      </c>
      <c r="F217" s="144"/>
      <c r="G217" s="87">
        <f>SUM(G214:G216)</f>
        <v>59745.231300000014</v>
      </c>
      <c r="H217" s="87">
        <f t="shared" ref="H217" si="56">SUM(H214:H216)</f>
        <v>397168.56999999995</v>
      </c>
      <c r="I217" s="87"/>
      <c r="J217" s="87"/>
      <c r="K217" s="87"/>
      <c r="L217" s="140"/>
      <c r="M217" s="140"/>
      <c r="N217" s="140"/>
      <c r="O217" s="140"/>
      <c r="P217" s="87">
        <v>145388.34</v>
      </c>
      <c r="Q217" s="65"/>
      <c r="R217" s="70"/>
      <c r="S217" s="50"/>
    </row>
    <row r="218" spans="1:19" s="2" customFormat="1" ht="28.5" customHeight="1" x14ac:dyDescent="0.25">
      <c r="A218" s="20"/>
      <c r="B218" s="129"/>
      <c r="C218" s="131" t="s">
        <v>41</v>
      </c>
      <c r="D218" s="99" t="s">
        <v>76</v>
      </c>
      <c r="E218" s="147">
        <v>296.06</v>
      </c>
      <c r="F218" s="153">
        <v>3.45</v>
      </c>
      <c r="G218" s="94">
        <f>E218*F218</f>
        <v>1021.407</v>
      </c>
      <c r="H218" s="94">
        <v>13322.7</v>
      </c>
      <c r="I218" s="94"/>
      <c r="J218" s="94"/>
      <c r="K218" s="94"/>
      <c r="L218" s="135"/>
      <c r="M218" s="135"/>
      <c r="N218" s="135"/>
      <c r="O218" s="135"/>
      <c r="P218" s="94">
        <v>0</v>
      </c>
      <c r="Q218" s="61"/>
      <c r="R218" s="71"/>
      <c r="S218" s="47"/>
    </row>
    <row r="219" spans="1:19" s="2" customFormat="1" ht="30.75" customHeight="1" x14ac:dyDescent="0.25">
      <c r="A219" s="20"/>
      <c r="B219" s="129"/>
      <c r="C219" s="131" t="s">
        <v>66</v>
      </c>
      <c r="D219" s="99" t="s">
        <v>76</v>
      </c>
      <c r="E219" s="147">
        <v>77.8</v>
      </c>
      <c r="F219" s="153">
        <v>3.45</v>
      </c>
      <c r="G219" s="94">
        <f>E219*F219</f>
        <v>268.41000000000003</v>
      </c>
      <c r="H219" s="94">
        <f>E219*45</f>
        <v>3501</v>
      </c>
      <c r="I219" s="94"/>
      <c r="J219" s="94"/>
      <c r="K219" s="94"/>
      <c r="L219" s="135"/>
      <c r="M219" s="135"/>
      <c r="N219" s="135"/>
      <c r="O219" s="135"/>
      <c r="P219" s="94"/>
      <c r="Q219" s="61"/>
      <c r="R219" s="71"/>
      <c r="S219" s="47"/>
    </row>
    <row r="220" spans="1:19" s="2" customFormat="1" ht="41.25" customHeight="1" x14ac:dyDescent="0.25">
      <c r="A220" s="20"/>
      <c r="B220" s="129"/>
      <c r="C220" s="131" t="s">
        <v>43</v>
      </c>
      <c r="D220" s="99"/>
      <c r="E220" s="147">
        <v>19.600000000000001</v>
      </c>
      <c r="F220" s="153">
        <v>0</v>
      </c>
      <c r="G220" s="153">
        <v>0</v>
      </c>
      <c r="H220" s="153">
        <v>0</v>
      </c>
      <c r="I220" s="153"/>
      <c r="J220" s="153"/>
      <c r="K220" s="153"/>
      <c r="L220" s="135"/>
      <c r="M220" s="135"/>
      <c r="N220" s="135"/>
      <c r="O220" s="135"/>
      <c r="P220" s="94"/>
      <c r="Q220" s="61"/>
      <c r="R220" s="71"/>
      <c r="S220" s="47"/>
    </row>
    <row r="221" spans="1:19" s="2" customFormat="1" ht="41.25" customHeight="1" x14ac:dyDescent="0.25">
      <c r="A221" s="18"/>
      <c r="B221" s="122"/>
      <c r="C221" s="132" t="s">
        <v>41</v>
      </c>
      <c r="D221" s="100" t="s">
        <v>77</v>
      </c>
      <c r="E221" s="144">
        <f>SUM(E217:E220)</f>
        <v>19004.04</v>
      </c>
      <c r="F221" s="144"/>
      <c r="G221" s="87">
        <f t="shared" ref="G221:H221" si="57">SUM(G217:G220)</f>
        <v>61035.048300000017</v>
      </c>
      <c r="H221" s="87">
        <f t="shared" si="57"/>
        <v>413992.26999999996</v>
      </c>
      <c r="I221" s="87"/>
      <c r="J221" s="87"/>
      <c r="K221" s="87"/>
      <c r="L221" s="140"/>
      <c r="M221" s="140"/>
      <c r="N221" s="140"/>
      <c r="O221" s="140"/>
      <c r="P221" s="87">
        <v>145388.34</v>
      </c>
      <c r="Q221" s="65"/>
      <c r="R221" s="70"/>
      <c r="S221" s="50"/>
    </row>
    <row r="222" spans="1:19" s="2" customFormat="1" ht="27" customHeight="1" x14ac:dyDescent="0.25">
      <c r="A222" s="20"/>
      <c r="B222" s="129"/>
      <c r="C222" s="131" t="s">
        <v>41</v>
      </c>
      <c r="D222" s="99" t="s">
        <v>78</v>
      </c>
      <c r="E222" s="147">
        <v>186.76</v>
      </c>
      <c r="F222" s="153">
        <v>3.45</v>
      </c>
      <c r="G222" s="94">
        <f>E222*F222</f>
        <v>644.322</v>
      </c>
      <c r="H222" s="94">
        <f>E222*45</f>
        <v>8404.1999999999989</v>
      </c>
      <c r="I222" s="94"/>
      <c r="J222" s="94"/>
      <c r="K222" s="94"/>
      <c r="L222" s="135"/>
      <c r="M222" s="135"/>
      <c r="N222" s="135"/>
      <c r="O222" s="135"/>
      <c r="P222" s="94">
        <v>61410.38</v>
      </c>
      <c r="Q222" s="61"/>
      <c r="R222" s="71"/>
      <c r="S222" s="47"/>
    </row>
    <row r="223" spans="1:19" s="2" customFormat="1" ht="27.75" customHeight="1" x14ac:dyDescent="0.25">
      <c r="A223" s="20"/>
      <c r="B223" s="129"/>
      <c r="C223" s="131" t="s">
        <v>66</v>
      </c>
      <c r="D223" s="99" t="s">
        <v>78</v>
      </c>
      <c r="E223" s="147">
        <v>29.45</v>
      </c>
      <c r="F223" s="153">
        <v>3.45</v>
      </c>
      <c r="G223" s="94">
        <f>E223*F223</f>
        <v>101.60250000000001</v>
      </c>
      <c r="H223" s="94">
        <f>E223*45</f>
        <v>1325.25</v>
      </c>
      <c r="I223" s="94"/>
      <c r="J223" s="94"/>
      <c r="K223" s="94"/>
      <c r="L223" s="135"/>
      <c r="M223" s="135"/>
      <c r="N223" s="135"/>
      <c r="O223" s="135"/>
      <c r="P223" s="94"/>
      <c r="Q223" s="61"/>
      <c r="R223" s="71"/>
      <c r="S223" s="47"/>
    </row>
    <row r="224" spans="1:19" s="2" customFormat="1" ht="41.25" customHeight="1" x14ac:dyDescent="0.25">
      <c r="A224" s="18"/>
      <c r="B224" s="122"/>
      <c r="C224" s="132" t="s">
        <v>41</v>
      </c>
      <c r="D224" s="100" t="s">
        <v>79</v>
      </c>
      <c r="E224" s="144">
        <f>SUM(E221:E223)</f>
        <v>19220.25</v>
      </c>
      <c r="F224" s="144"/>
      <c r="G224" s="87">
        <f t="shared" ref="G224:H224" si="58">SUM(G221:G223)</f>
        <v>61780.972800000018</v>
      </c>
      <c r="H224" s="87">
        <f t="shared" si="58"/>
        <v>423721.72</v>
      </c>
      <c r="I224" s="87"/>
      <c r="J224" s="87"/>
      <c r="K224" s="87"/>
      <c r="L224" s="140"/>
      <c r="M224" s="140"/>
      <c r="N224" s="140"/>
      <c r="O224" s="140"/>
      <c r="P224" s="87">
        <f>P221+P222</f>
        <v>206798.72</v>
      </c>
      <c r="Q224" s="65"/>
      <c r="R224" s="70"/>
      <c r="S224" s="50"/>
    </row>
    <row r="225" spans="1:19" s="2" customFormat="1" ht="26.25" customHeight="1" x14ac:dyDescent="0.25">
      <c r="A225" s="20"/>
      <c r="B225" s="129"/>
      <c r="C225" s="131" t="s">
        <v>41</v>
      </c>
      <c r="D225" s="99" t="s">
        <v>82</v>
      </c>
      <c r="E225" s="147">
        <v>125.14</v>
      </c>
      <c r="F225" s="153">
        <v>3.45</v>
      </c>
      <c r="G225" s="94">
        <f>E225*F225</f>
        <v>431.733</v>
      </c>
      <c r="H225" s="94">
        <f>E225*57</f>
        <v>7132.9800000000005</v>
      </c>
      <c r="I225" s="94"/>
      <c r="J225" s="94"/>
      <c r="K225" s="94"/>
      <c r="L225" s="135"/>
      <c r="M225" s="135"/>
      <c r="N225" s="135"/>
      <c r="O225" s="135"/>
      <c r="P225" s="94">
        <v>122731.52</v>
      </c>
      <c r="Q225" s="61"/>
      <c r="R225" s="71"/>
      <c r="S225" s="47"/>
    </row>
    <row r="226" spans="1:19" s="2" customFormat="1" ht="28.5" customHeight="1" x14ac:dyDescent="0.25">
      <c r="A226" s="20"/>
      <c r="B226" s="129"/>
      <c r="C226" s="131" t="s">
        <v>66</v>
      </c>
      <c r="D226" s="99" t="s">
        <v>82</v>
      </c>
      <c r="E226" s="147">
        <v>44.98</v>
      </c>
      <c r="F226" s="153">
        <v>3.45</v>
      </c>
      <c r="G226" s="94">
        <f>E226*F226</f>
        <v>155.18099999999998</v>
      </c>
      <c r="H226" s="94">
        <f>E226*57</f>
        <v>2563.8599999999997</v>
      </c>
      <c r="I226" s="94"/>
      <c r="J226" s="94"/>
      <c r="K226" s="94"/>
      <c r="L226" s="135"/>
      <c r="M226" s="135"/>
      <c r="N226" s="135"/>
      <c r="O226" s="135"/>
      <c r="P226" s="94"/>
      <c r="Q226" s="61"/>
      <c r="R226" s="71"/>
      <c r="S226" s="47"/>
    </row>
    <row r="227" spans="1:19" s="2" customFormat="1" ht="41.25" customHeight="1" x14ac:dyDescent="0.25">
      <c r="A227" s="18"/>
      <c r="B227" s="122"/>
      <c r="C227" s="132" t="s">
        <v>41</v>
      </c>
      <c r="D227" s="100" t="s">
        <v>81</v>
      </c>
      <c r="E227" s="144">
        <f>SUM(E224:E226)</f>
        <v>19390.37</v>
      </c>
      <c r="F227" s="144"/>
      <c r="G227" s="87">
        <f t="shared" ref="G227:P227" si="59">SUM(G224:G226)</f>
        <v>62367.886800000015</v>
      </c>
      <c r="H227" s="87">
        <f t="shared" si="59"/>
        <v>433418.55999999994</v>
      </c>
      <c r="I227" s="87"/>
      <c r="J227" s="87"/>
      <c r="K227" s="87"/>
      <c r="L227" s="87"/>
      <c r="M227" s="87"/>
      <c r="N227" s="87"/>
      <c r="O227" s="87"/>
      <c r="P227" s="87">
        <f t="shared" si="59"/>
        <v>329530.23999999999</v>
      </c>
      <c r="Q227" s="65"/>
      <c r="R227" s="70"/>
      <c r="S227" s="50"/>
    </row>
    <row r="228" spans="1:19" s="2" customFormat="1" ht="30" customHeight="1" x14ac:dyDescent="0.25">
      <c r="A228" s="20"/>
      <c r="B228" s="129"/>
      <c r="C228" s="131" t="s">
        <v>41</v>
      </c>
      <c r="D228" s="99" t="s">
        <v>84</v>
      </c>
      <c r="E228" s="147">
        <v>264.14</v>
      </c>
      <c r="F228" s="153">
        <v>3.45</v>
      </c>
      <c r="G228" s="94">
        <f>E228*F228</f>
        <v>911.28300000000002</v>
      </c>
      <c r="H228" s="94">
        <f>E228*57</f>
        <v>15055.98</v>
      </c>
      <c r="I228" s="94"/>
      <c r="J228" s="94"/>
      <c r="K228" s="94"/>
      <c r="L228" s="94"/>
      <c r="M228" s="94"/>
      <c r="N228" s="94"/>
      <c r="O228" s="94"/>
      <c r="P228" s="94">
        <v>0</v>
      </c>
      <c r="Q228" s="61"/>
      <c r="R228" s="71"/>
      <c r="S228" s="47"/>
    </row>
    <row r="229" spans="1:19" s="2" customFormat="1" ht="30.75" customHeight="1" x14ac:dyDescent="0.25">
      <c r="A229" s="20"/>
      <c r="B229" s="129"/>
      <c r="C229" s="131" t="s">
        <v>66</v>
      </c>
      <c r="D229" s="99" t="s">
        <v>84</v>
      </c>
      <c r="E229" s="147">
        <v>155.41999999999999</v>
      </c>
      <c r="F229" s="153">
        <v>3.45</v>
      </c>
      <c r="G229" s="94">
        <f>E229*F228</f>
        <v>536.19899999999996</v>
      </c>
      <c r="H229" s="94">
        <f>E229*57</f>
        <v>8858.9399999999987</v>
      </c>
      <c r="I229" s="94"/>
      <c r="J229" s="94"/>
      <c r="K229" s="94"/>
      <c r="L229" s="94"/>
      <c r="M229" s="94"/>
      <c r="N229" s="94"/>
      <c r="O229" s="94"/>
      <c r="P229" s="94"/>
      <c r="Q229" s="61"/>
      <c r="R229" s="71"/>
      <c r="S229" s="47"/>
    </row>
    <row r="230" spans="1:19" s="2" customFormat="1" ht="41.25" customHeight="1" x14ac:dyDescent="0.25">
      <c r="A230" s="18"/>
      <c r="B230" s="122"/>
      <c r="C230" s="132" t="s">
        <v>41</v>
      </c>
      <c r="D230" s="100" t="s">
        <v>86</v>
      </c>
      <c r="E230" s="144">
        <f>SUM(E227:E229)</f>
        <v>19809.929999999997</v>
      </c>
      <c r="F230" s="144"/>
      <c r="G230" s="87">
        <f t="shared" ref="G230:P230" si="60">SUM(G227:G229)</f>
        <v>63815.368800000018</v>
      </c>
      <c r="H230" s="87">
        <f t="shared" si="60"/>
        <v>457333.47999999992</v>
      </c>
      <c r="I230" s="87"/>
      <c r="J230" s="87"/>
      <c r="K230" s="87"/>
      <c r="L230" s="87"/>
      <c r="M230" s="87"/>
      <c r="N230" s="87"/>
      <c r="O230" s="87"/>
      <c r="P230" s="87">
        <f t="shared" si="60"/>
        <v>329530.23999999999</v>
      </c>
      <c r="Q230" s="144"/>
      <c r="R230" s="144"/>
      <c r="S230" s="50"/>
    </row>
    <row r="231" spans="1:19" s="2" customFormat="1" ht="28.5" customHeight="1" x14ac:dyDescent="0.25">
      <c r="A231" s="20"/>
      <c r="B231" s="129"/>
      <c r="C231" s="131" t="s">
        <v>41</v>
      </c>
      <c r="D231" s="99" t="s">
        <v>89</v>
      </c>
      <c r="E231" s="147">
        <v>368.64</v>
      </c>
      <c r="F231" s="153">
        <v>3.45</v>
      </c>
      <c r="G231" s="94">
        <f>E231*F231</f>
        <v>1271.808</v>
      </c>
      <c r="H231" s="94">
        <f>E231*57</f>
        <v>21012.48</v>
      </c>
      <c r="I231" s="94"/>
      <c r="J231" s="94"/>
      <c r="K231" s="94"/>
      <c r="L231" s="94"/>
      <c r="M231" s="94"/>
      <c r="N231" s="94"/>
      <c r="O231" s="94"/>
      <c r="P231" s="94">
        <v>0</v>
      </c>
      <c r="Q231" s="147"/>
      <c r="R231" s="214"/>
      <c r="S231" s="47"/>
    </row>
    <row r="232" spans="1:19" s="2" customFormat="1" ht="41.25" customHeight="1" x14ac:dyDescent="0.25">
      <c r="A232" s="20"/>
      <c r="B232" s="129"/>
      <c r="C232" s="131" t="s">
        <v>43</v>
      </c>
      <c r="D232" s="99"/>
      <c r="E232" s="147">
        <v>12.22</v>
      </c>
      <c r="F232" s="147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47"/>
      <c r="R232" s="214"/>
      <c r="S232" s="47"/>
    </row>
    <row r="233" spans="1:19" s="2" customFormat="1" ht="27" customHeight="1" x14ac:dyDescent="0.25">
      <c r="A233" s="20"/>
      <c r="B233" s="129"/>
      <c r="C233" s="131" t="s">
        <v>66</v>
      </c>
      <c r="D233" s="99" t="s">
        <v>89</v>
      </c>
      <c r="E233" s="147">
        <v>76.88</v>
      </c>
      <c r="F233" s="153">
        <v>3.45</v>
      </c>
      <c r="G233" s="94">
        <f>E233*F233</f>
        <v>265.23599999999999</v>
      </c>
      <c r="H233" s="94">
        <f>E233*57</f>
        <v>4382.16</v>
      </c>
      <c r="I233" s="94"/>
      <c r="J233" s="94"/>
      <c r="K233" s="94"/>
      <c r="L233" s="94"/>
      <c r="M233" s="94"/>
      <c r="N233" s="94"/>
      <c r="O233" s="94"/>
      <c r="P233" s="94"/>
      <c r="Q233" s="147"/>
      <c r="R233" s="214"/>
      <c r="S233" s="47"/>
    </row>
    <row r="234" spans="1:19" s="2" customFormat="1" ht="41.25" customHeight="1" x14ac:dyDescent="0.25">
      <c r="A234" s="18"/>
      <c r="B234" s="122"/>
      <c r="C234" s="132" t="s">
        <v>41</v>
      </c>
      <c r="D234" s="100" t="s">
        <v>90</v>
      </c>
      <c r="E234" s="144">
        <f>SUM(E230:E233)</f>
        <v>20267.669999999998</v>
      </c>
      <c r="F234" s="144"/>
      <c r="G234" s="87">
        <f t="shared" ref="G234:P234" si="61">SUM(G230:G233)</f>
        <v>65352.412800000013</v>
      </c>
      <c r="H234" s="87">
        <f t="shared" si="61"/>
        <v>482728.11999999988</v>
      </c>
      <c r="I234" s="87"/>
      <c r="J234" s="87"/>
      <c r="K234" s="87"/>
      <c r="L234" s="87"/>
      <c r="M234" s="87"/>
      <c r="N234" s="87"/>
      <c r="O234" s="87"/>
      <c r="P234" s="87">
        <f t="shared" si="61"/>
        <v>329530.23999999999</v>
      </c>
      <c r="Q234" s="144"/>
      <c r="R234" s="213"/>
      <c r="S234" s="50"/>
    </row>
    <row r="235" spans="1:19" s="2" customFormat="1" ht="30" customHeight="1" x14ac:dyDescent="0.25">
      <c r="A235" s="20"/>
      <c r="B235" s="129"/>
      <c r="C235" s="131" t="s">
        <v>41</v>
      </c>
      <c r="D235" s="99" t="s">
        <v>93</v>
      </c>
      <c r="E235" s="147">
        <v>378.66</v>
      </c>
      <c r="F235" s="153">
        <v>3.45</v>
      </c>
      <c r="G235" s="94">
        <f>SUM(E235*F235)</f>
        <v>1306.3770000000002</v>
      </c>
      <c r="H235" s="94">
        <f>E235*57</f>
        <v>21583.620000000003</v>
      </c>
      <c r="I235" s="94"/>
      <c r="J235" s="94"/>
      <c r="K235" s="94"/>
      <c r="L235" s="94"/>
      <c r="M235" s="94"/>
      <c r="N235" s="94"/>
      <c r="O235" s="94"/>
      <c r="P235" s="94">
        <v>50442</v>
      </c>
      <c r="Q235" s="147"/>
      <c r="R235" s="214"/>
      <c r="S235" s="47"/>
    </row>
    <row r="236" spans="1:19" s="2" customFormat="1" ht="30" customHeight="1" x14ac:dyDescent="0.25">
      <c r="A236" s="20"/>
      <c r="B236" s="129"/>
      <c r="C236" s="131" t="s">
        <v>66</v>
      </c>
      <c r="D236" s="99" t="s">
        <v>93</v>
      </c>
      <c r="E236" s="147">
        <v>44</v>
      </c>
      <c r="F236" s="153">
        <v>3.45</v>
      </c>
      <c r="G236" s="94">
        <f>SUM(E236*F236)</f>
        <v>151.80000000000001</v>
      </c>
      <c r="H236" s="94">
        <f>E236*57</f>
        <v>2508</v>
      </c>
      <c r="I236" s="94"/>
      <c r="J236" s="94"/>
      <c r="K236" s="94"/>
      <c r="L236" s="94"/>
      <c r="M236" s="94"/>
      <c r="N236" s="94"/>
      <c r="O236" s="94"/>
      <c r="P236" s="94"/>
      <c r="Q236" s="147"/>
      <c r="R236" s="214"/>
      <c r="S236" s="47"/>
    </row>
    <row r="237" spans="1:19" s="2" customFormat="1" ht="41.25" customHeight="1" x14ac:dyDescent="0.25">
      <c r="A237" s="18"/>
      <c r="B237" s="122"/>
      <c r="C237" s="132" t="s">
        <v>41</v>
      </c>
      <c r="D237" s="100" t="s">
        <v>94</v>
      </c>
      <c r="E237" s="144">
        <f>SUM(E234:E236)</f>
        <v>20690.329999999998</v>
      </c>
      <c r="F237" s="144"/>
      <c r="G237" s="87">
        <f t="shared" ref="G237:H237" si="62">SUM(G234:G236)</f>
        <v>66810.589800000016</v>
      </c>
      <c r="H237" s="87">
        <f t="shared" si="62"/>
        <v>506819.73999999987</v>
      </c>
      <c r="I237" s="87"/>
      <c r="J237" s="87"/>
      <c r="K237" s="87"/>
      <c r="L237" s="87"/>
      <c r="M237" s="87"/>
      <c r="N237" s="87"/>
      <c r="O237" s="87"/>
      <c r="P237" s="87">
        <f>SUM(P234:P236)</f>
        <v>379972.24</v>
      </c>
      <c r="Q237" s="144"/>
      <c r="R237" s="213"/>
      <c r="S237" s="50"/>
    </row>
    <row r="238" spans="1:19" s="2" customFormat="1" ht="87.75" customHeight="1" x14ac:dyDescent="0.25">
      <c r="A238" s="20"/>
      <c r="B238" s="129"/>
      <c r="C238" s="131" t="s">
        <v>41</v>
      </c>
      <c r="D238" s="99" t="s">
        <v>96</v>
      </c>
      <c r="E238" s="147">
        <v>379.2</v>
      </c>
      <c r="F238" s="153">
        <v>5.6</v>
      </c>
      <c r="G238" s="94">
        <f>E238*F238</f>
        <v>2123.52</v>
      </c>
      <c r="H238" s="94">
        <v>34921.08</v>
      </c>
      <c r="I238" s="94"/>
      <c r="J238" s="94"/>
      <c r="K238" s="94"/>
      <c r="L238" s="94"/>
      <c r="M238" s="94"/>
      <c r="N238" s="94"/>
      <c r="O238" s="94"/>
      <c r="P238" s="220" t="s">
        <v>109</v>
      </c>
      <c r="Q238" s="147"/>
      <c r="R238" s="214"/>
      <c r="S238" s="255" t="s">
        <v>104</v>
      </c>
    </row>
    <row r="239" spans="1:19" s="2" customFormat="1" ht="48" customHeight="1" x14ac:dyDescent="0.25">
      <c r="A239" s="20"/>
      <c r="B239" s="129"/>
      <c r="C239" s="131" t="s">
        <v>66</v>
      </c>
      <c r="D239" s="99" t="s">
        <v>96</v>
      </c>
      <c r="E239" s="147">
        <v>93.5</v>
      </c>
      <c r="F239" s="153">
        <v>5.6</v>
      </c>
      <c r="G239" s="94">
        <f>E239*F239</f>
        <v>523.6</v>
      </c>
      <c r="H239" s="94">
        <v>8365.1</v>
      </c>
      <c r="I239" s="94"/>
      <c r="J239" s="94"/>
      <c r="K239" s="94"/>
      <c r="L239" s="94"/>
      <c r="M239" s="94"/>
      <c r="N239" s="94"/>
      <c r="O239" s="94"/>
      <c r="P239" s="94"/>
      <c r="Q239" s="147"/>
      <c r="R239" s="214"/>
      <c r="S239" s="256"/>
    </row>
    <row r="240" spans="1:19" s="2" customFormat="1" ht="41.25" customHeight="1" x14ac:dyDescent="0.25">
      <c r="A240" s="18"/>
      <c r="B240" s="122"/>
      <c r="C240" s="132" t="s">
        <v>41</v>
      </c>
      <c r="D240" s="100" t="s">
        <v>97</v>
      </c>
      <c r="E240" s="144">
        <f>SUM(E237:E239)</f>
        <v>21163.03</v>
      </c>
      <c r="F240" s="144"/>
      <c r="G240" s="87">
        <f>SUM(G237:G239)</f>
        <v>69457.709800000026</v>
      </c>
      <c r="H240" s="87">
        <f t="shared" ref="H240" si="63">SUM(H237:H239)</f>
        <v>550105.91999999981</v>
      </c>
      <c r="I240" s="87"/>
      <c r="J240" s="87"/>
      <c r="K240" s="87"/>
      <c r="L240" s="87"/>
      <c r="M240" s="87"/>
      <c r="N240" s="87"/>
      <c r="O240" s="87"/>
      <c r="P240" s="221" t="s">
        <v>110</v>
      </c>
      <c r="Q240" s="144"/>
      <c r="R240" s="213"/>
      <c r="S240" s="50"/>
    </row>
    <row r="241" spans="1:19" s="2" customFormat="1" ht="48.75" customHeight="1" x14ac:dyDescent="0.25">
      <c r="A241" s="20"/>
      <c r="B241" s="129"/>
      <c r="C241" s="131" t="s">
        <v>41</v>
      </c>
      <c r="D241" s="99" t="s">
        <v>119</v>
      </c>
      <c r="E241" s="147">
        <v>403.61</v>
      </c>
      <c r="F241" s="153">
        <v>5.6</v>
      </c>
      <c r="G241" s="94">
        <f>E241*F241</f>
        <v>2260.2159999999999</v>
      </c>
      <c r="H241" s="94">
        <f>E241*69</f>
        <v>27849.09</v>
      </c>
      <c r="I241" s="94"/>
      <c r="J241" s="94"/>
      <c r="K241" s="94"/>
      <c r="L241" s="94"/>
      <c r="M241" s="94"/>
      <c r="N241" s="94"/>
      <c r="O241" s="94"/>
      <c r="P241" s="220" t="s">
        <v>121</v>
      </c>
      <c r="Q241" s="147"/>
      <c r="R241" s="214"/>
      <c r="S241" s="47"/>
    </row>
    <row r="242" spans="1:19" s="2" customFormat="1" ht="30" customHeight="1" x14ac:dyDescent="0.25">
      <c r="A242" s="20"/>
      <c r="B242" s="129"/>
      <c r="C242" s="131" t="s">
        <v>66</v>
      </c>
      <c r="D242" s="99" t="s">
        <v>119</v>
      </c>
      <c r="E242" s="147">
        <v>67.56</v>
      </c>
      <c r="F242" s="153">
        <v>5.6</v>
      </c>
      <c r="G242" s="94">
        <f>E242*F242</f>
        <v>378.33600000000001</v>
      </c>
      <c r="H242" s="94">
        <f>E242*69</f>
        <v>4661.6400000000003</v>
      </c>
      <c r="I242" s="94"/>
      <c r="J242" s="94"/>
      <c r="K242" s="94"/>
      <c r="L242" s="94"/>
      <c r="M242" s="94"/>
      <c r="N242" s="94"/>
      <c r="O242" s="94"/>
      <c r="P242" s="220"/>
      <c r="Q242" s="147"/>
      <c r="R242" s="214"/>
      <c r="S242" s="47"/>
    </row>
    <row r="243" spans="1:19" s="2" customFormat="1" ht="41.25" customHeight="1" x14ac:dyDescent="0.25">
      <c r="A243" s="18"/>
      <c r="B243" s="122"/>
      <c r="C243" s="132" t="s">
        <v>41</v>
      </c>
      <c r="D243" s="100" t="s">
        <v>120</v>
      </c>
      <c r="E243" s="144">
        <f>SUM(E240:E242)</f>
        <v>21634.2</v>
      </c>
      <c r="F243" s="144"/>
      <c r="G243" s="87">
        <f t="shared" ref="G243:H243" si="64">SUM(G240:G242)</f>
        <v>72096.261800000022</v>
      </c>
      <c r="H243" s="87">
        <f t="shared" si="64"/>
        <v>582616.64999999979</v>
      </c>
      <c r="I243" s="87"/>
      <c r="J243" s="87"/>
      <c r="K243" s="87"/>
      <c r="L243" s="87"/>
      <c r="M243" s="87"/>
      <c r="N243" s="87"/>
      <c r="O243" s="87"/>
      <c r="P243" s="221" t="s">
        <v>132</v>
      </c>
      <c r="Q243" s="144"/>
      <c r="R243" s="213"/>
      <c r="S243" s="50"/>
    </row>
    <row r="244" spans="1:19" s="2" customFormat="1" ht="27" customHeight="1" x14ac:dyDescent="0.25">
      <c r="A244" s="20"/>
      <c r="B244" s="129"/>
      <c r="C244" s="131" t="s">
        <v>41</v>
      </c>
      <c r="D244" s="99" t="s">
        <v>139</v>
      </c>
      <c r="E244" s="147">
        <v>401.22</v>
      </c>
      <c r="F244" s="153">
        <v>5.6</v>
      </c>
      <c r="G244" s="94">
        <f>SUM(E244*F244)</f>
        <v>2246.8319999999999</v>
      </c>
      <c r="H244" s="94">
        <f>SUM(E244*69)</f>
        <v>27684.18</v>
      </c>
      <c r="I244" s="94"/>
      <c r="J244" s="94"/>
      <c r="K244" s="94"/>
      <c r="L244" s="94"/>
      <c r="M244" s="94"/>
      <c r="N244" s="94"/>
      <c r="O244" s="94"/>
      <c r="P244" s="220">
        <v>0</v>
      </c>
      <c r="Q244" s="147"/>
      <c r="R244" s="214"/>
      <c r="S244" s="47"/>
    </row>
    <row r="245" spans="1:19" s="2" customFormat="1" ht="27" customHeight="1" x14ac:dyDescent="0.25">
      <c r="A245" s="20"/>
      <c r="B245" s="129"/>
      <c r="C245" s="131" t="s">
        <v>66</v>
      </c>
      <c r="D245" s="99" t="s">
        <v>139</v>
      </c>
      <c r="E245" s="147">
        <v>62.16</v>
      </c>
      <c r="F245" s="153">
        <v>5.6</v>
      </c>
      <c r="G245" s="94">
        <f>SUM(E245*F245)</f>
        <v>348.09599999999995</v>
      </c>
      <c r="H245" s="94">
        <f>SUM(E245*69)</f>
        <v>4289.04</v>
      </c>
      <c r="I245" s="94"/>
      <c r="J245" s="94"/>
      <c r="K245" s="94"/>
      <c r="L245" s="94"/>
      <c r="M245" s="94"/>
      <c r="N245" s="94"/>
      <c r="O245" s="94"/>
      <c r="P245" s="220"/>
      <c r="Q245" s="147"/>
      <c r="R245" s="214"/>
      <c r="S245" s="47"/>
    </row>
    <row r="246" spans="1:19" s="2" customFormat="1" ht="41.25" customHeight="1" x14ac:dyDescent="0.25">
      <c r="A246" s="18"/>
      <c r="B246" s="122"/>
      <c r="C246" s="132" t="s">
        <v>41</v>
      </c>
      <c r="D246" s="100" t="s">
        <v>140</v>
      </c>
      <c r="E246" s="144">
        <f>SUM(E243:E245)</f>
        <v>22097.58</v>
      </c>
      <c r="F246" s="144"/>
      <c r="G246" s="87">
        <f t="shared" ref="G246:H246" si="65">SUM(G243:G245)</f>
        <v>74691.189800000022</v>
      </c>
      <c r="H246" s="87">
        <f t="shared" si="65"/>
        <v>614589.86999999988</v>
      </c>
      <c r="I246" s="87"/>
      <c r="J246" s="87"/>
      <c r="K246" s="87"/>
      <c r="L246" s="87"/>
      <c r="M246" s="87"/>
      <c r="N246" s="87"/>
      <c r="O246" s="87"/>
      <c r="P246" s="221" t="s">
        <v>132</v>
      </c>
      <c r="Q246" s="144"/>
      <c r="R246" s="213"/>
      <c r="S246" s="50"/>
    </row>
    <row r="247" spans="1:19" s="2" customFormat="1" ht="28.5" customHeight="1" x14ac:dyDescent="0.25">
      <c r="A247" s="20"/>
      <c r="B247" s="129"/>
      <c r="C247" s="131" t="s">
        <v>41</v>
      </c>
      <c r="D247" s="99" t="s">
        <v>144</v>
      </c>
      <c r="E247" s="147">
        <v>377.82</v>
      </c>
      <c r="F247" s="153">
        <v>5.6</v>
      </c>
      <c r="G247" s="94">
        <v>2115.7919999999999</v>
      </c>
      <c r="H247" s="94">
        <v>26069.579999999998</v>
      </c>
      <c r="I247" s="94"/>
      <c r="J247" s="94"/>
      <c r="K247" s="94"/>
      <c r="L247" s="94"/>
      <c r="M247" s="94"/>
      <c r="N247" s="94"/>
      <c r="O247" s="94"/>
      <c r="P247" s="220" t="s">
        <v>146</v>
      </c>
      <c r="Q247" s="147"/>
      <c r="R247" s="214"/>
      <c r="S247" s="47"/>
    </row>
    <row r="248" spans="1:19" s="2" customFormat="1" ht="26.25" customHeight="1" x14ac:dyDescent="0.25">
      <c r="A248" s="20"/>
      <c r="B248" s="129"/>
      <c r="C248" s="131" t="s">
        <v>66</v>
      </c>
      <c r="D248" s="99" t="s">
        <v>144</v>
      </c>
      <c r="E248" s="147">
        <v>85.65</v>
      </c>
      <c r="F248" s="153">
        <v>5.6</v>
      </c>
      <c r="G248" s="94">
        <v>479.64</v>
      </c>
      <c r="H248" s="94">
        <v>5909.85</v>
      </c>
      <c r="I248" s="94"/>
      <c r="J248" s="94"/>
      <c r="K248" s="94"/>
      <c r="L248" s="94"/>
      <c r="M248" s="94"/>
      <c r="N248" s="94"/>
      <c r="O248" s="94"/>
      <c r="P248" s="220"/>
      <c r="Q248" s="147"/>
      <c r="R248" s="214"/>
      <c r="S248" s="47"/>
    </row>
    <row r="249" spans="1:19" s="2" customFormat="1" ht="41.25" customHeight="1" x14ac:dyDescent="0.25">
      <c r="A249" s="18"/>
      <c r="B249" s="122"/>
      <c r="C249" s="132" t="s">
        <v>41</v>
      </c>
      <c r="D249" s="100" t="s">
        <v>145</v>
      </c>
      <c r="E249" s="144">
        <f>SUM(E246:E248)</f>
        <v>22561.050000000003</v>
      </c>
      <c r="F249" s="144"/>
      <c r="G249" s="87">
        <f t="shared" ref="G249:H249" si="66">SUM(G246:G248)</f>
        <v>77286.621800000023</v>
      </c>
      <c r="H249" s="87">
        <f t="shared" si="66"/>
        <v>646569.29999999981</v>
      </c>
      <c r="I249" s="87"/>
      <c r="J249" s="87"/>
      <c r="K249" s="87"/>
      <c r="L249" s="87"/>
      <c r="M249" s="87"/>
      <c r="N249" s="87"/>
      <c r="O249" s="87"/>
      <c r="P249" s="221" t="s">
        <v>147</v>
      </c>
      <c r="Q249" s="144"/>
      <c r="R249" s="213"/>
      <c r="S249" s="50"/>
    </row>
    <row r="250" spans="1:19" s="2" customFormat="1" ht="41.25" customHeight="1" x14ac:dyDescent="0.25">
      <c r="A250" s="20"/>
      <c r="B250" s="129"/>
      <c r="C250" s="131" t="s">
        <v>173</v>
      </c>
      <c r="D250" s="99" t="s">
        <v>165</v>
      </c>
      <c r="E250" s="147">
        <v>485.6</v>
      </c>
      <c r="F250" s="153">
        <v>5.6</v>
      </c>
      <c r="G250" s="94">
        <f>E250*F250</f>
        <v>2719.36</v>
      </c>
      <c r="H250" s="94">
        <f>E250*82</f>
        <v>39819.200000000004</v>
      </c>
      <c r="I250" s="94"/>
      <c r="J250" s="94"/>
      <c r="K250" s="94"/>
      <c r="L250" s="94"/>
      <c r="M250" s="94"/>
      <c r="N250" s="94"/>
      <c r="O250" s="94"/>
      <c r="P250" s="220" t="s">
        <v>174</v>
      </c>
      <c r="Q250" s="147"/>
      <c r="R250" s="214"/>
      <c r="S250" s="47"/>
    </row>
    <row r="251" spans="1:19" s="2" customFormat="1" ht="41.25" customHeight="1" x14ac:dyDescent="0.25">
      <c r="A251" s="18"/>
      <c r="B251" s="122"/>
      <c r="C251" s="132" t="s">
        <v>41</v>
      </c>
      <c r="D251" s="100" t="s">
        <v>167</v>
      </c>
      <c r="E251" s="144">
        <f>SUM(E249:E250)</f>
        <v>23046.65</v>
      </c>
      <c r="F251" s="144"/>
      <c r="G251" s="87">
        <f t="shared" ref="G251:H251" si="67">SUM(G249:G250)</f>
        <v>80005.981800000023</v>
      </c>
      <c r="H251" s="87">
        <f t="shared" si="67"/>
        <v>686388.49999999977</v>
      </c>
      <c r="I251" s="87"/>
      <c r="J251" s="87"/>
      <c r="K251" s="87"/>
      <c r="L251" s="87"/>
      <c r="M251" s="87"/>
      <c r="N251" s="87"/>
      <c r="O251" s="87"/>
      <c r="P251" s="221" t="s">
        <v>175</v>
      </c>
      <c r="Q251" s="144"/>
      <c r="R251" s="213"/>
      <c r="S251" s="50"/>
    </row>
    <row r="252" spans="1:19" s="2" customFormat="1" ht="41.25" customHeight="1" x14ac:dyDescent="0.25">
      <c r="A252" s="20"/>
      <c r="B252" s="129"/>
      <c r="C252" s="131" t="s">
        <v>173</v>
      </c>
      <c r="D252" s="99" t="s">
        <v>166</v>
      </c>
      <c r="E252" s="147">
        <v>518.67999999999995</v>
      </c>
      <c r="F252" s="153">
        <v>5.6</v>
      </c>
      <c r="G252" s="94">
        <f>157.11*5.6</f>
        <v>879.81600000000003</v>
      </c>
      <c r="H252" s="94">
        <f>157.11*82</f>
        <v>12883.02</v>
      </c>
      <c r="I252" s="94">
        <f>361.57*5.6</f>
        <v>2024.7919999999999</v>
      </c>
      <c r="J252" s="94">
        <f>361.57*82</f>
        <v>29648.739999999998</v>
      </c>
      <c r="K252" s="94"/>
      <c r="L252" s="94"/>
      <c r="M252" s="94"/>
      <c r="N252" s="94"/>
      <c r="O252" s="94"/>
      <c r="P252" s="220">
        <v>0</v>
      </c>
      <c r="Q252" s="147"/>
      <c r="R252" s="214"/>
      <c r="S252" s="47"/>
    </row>
    <row r="253" spans="1:19" s="2" customFormat="1" ht="41.25" customHeight="1" x14ac:dyDescent="0.25">
      <c r="A253" s="18"/>
      <c r="B253" s="122"/>
      <c r="C253" s="132" t="s">
        <v>41</v>
      </c>
      <c r="D253" s="100" t="s">
        <v>168</v>
      </c>
      <c r="E253" s="144">
        <f>SUM(E251:E252)</f>
        <v>23565.33</v>
      </c>
      <c r="F253" s="144"/>
      <c r="G253" s="87">
        <f t="shared" ref="G253:J253" si="68">SUM(G251:G252)</f>
        <v>80885.797800000029</v>
      </c>
      <c r="H253" s="87">
        <f t="shared" si="68"/>
        <v>699271.51999999979</v>
      </c>
      <c r="I253" s="87">
        <f t="shared" si="68"/>
        <v>2024.7919999999999</v>
      </c>
      <c r="J253" s="87">
        <f t="shared" si="68"/>
        <v>29648.739999999998</v>
      </c>
      <c r="K253" s="87"/>
      <c r="L253" s="87"/>
      <c r="M253" s="87"/>
      <c r="N253" s="87"/>
      <c r="O253" s="87"/>
      <c r="P253" s="221" t="s">
        <v>175</v>
      </c>
      <c r="Q253" s="144"/>
      <c r="R253" s="213"/>
      <c r="S253" s="50"/>
    </row>
    <row r="254" spans="1:19" s="236" customFormat="1" ht="41.25" customHeight="1" x14ac:dyDescent="0.25">
      <c r="A254" s="230"/>
      <c r="B254" s="237"/>
      <c r="C254" s="131" t="s">
        <v>173</v>
      </c>
      <c r="D254" s="99" t="s">
        <v>195</v>
      </c>
      <c r="E254" s="243">
        <v>539.09</v>
      </c>
      <c r="F254" s="153">
        <v>5.6</v>
      </c>
      <c r="G254" s="94">
        <f>361.57*5.6</f>
        <v>2024.7919999999999</v>
      </c>
      <c r="H254" s="94">
        <f>361.57*82</f>
        <v>29648.739999999998</v>
      </c>
      <c r="I254" s="232">
        <f>E254*5.6</f>
        <v>3018.904</v>
      </c>
      <c r="J254" s="232">
        <f>E254*82</f>
        <v>44205.380000000005</v>
      </c>
      <c r="K254" s="232"/>
      <c r="L254" s="232"/>
      <c r="M254" s="232"/>
      <c r="N254" s="232"/>
      <c r="O254" s="232"/>
      <c r="P254" s="233" t="s">
        <v>198</v>
      </c>
      <c r="Q254" s="243"/>
      <c r="R254" s="244"/>
      <c r="S254" s="235"/>
    </row>
    <row r="255" spans="1:19" s="2" customFormat="1" ht="41.25" customHeight="1" x14ac:dyDescent="0.25">
      <c r="A255" s="18"/>
      <c r="B255" s="122"/>
      <c r="C255" s="132" t="s">
        <v>41</v>
      </c>
      <c r="D255" s="100" t="s">
        <v>196</v>
      </c>
      <c r="E255" s="144">
        <f>SUM(E253:E254)</f>
        <v>24104.420000000002</v>
      </c>
      <c r="F255" s="144"/>
      <c r="G255" s="87">
        <f>SUM(G253:G254)</f>
        <v>82910.589800000031</v>
      </c>
      <c r="H255" s="87">
        <f>SUM(H253:H254)</f>
        <v>728920.25999999978</v>
      </c>
      <c r="I255" s="87">
        <v>3018.9</v>
      </c>
      <c r="J255" s="87">
        <v>44205.38</v>
      </c>
      <c r="K255" s="87"/>
      <c r="L255" s="87"/>
      <c r="M255" s="87"/>
      <c r="N255" s="87"/>
      <c r="O255" s="87"/>
      <c r="P255" s="221" t="s">
        <v>197</v>
      </c>
      <c r="Q255" s="144"/>
      <c r="R255" s="213"/>
      <c r="S255" s="50"/>
    </row>
    <row r="256" spans="1:19" s="236" customFormat="1" ht="41.25" customHeight="1" x14ac:dyDescent="0.25">
      <c r="A256" s="230"/>
      <c r="B256" s="237"/>
      <c r="C256" s="131" t="s">
        <v>173</v>
      </c>
      <c r="D256" s="99" t="s">
        <v>201</v>
      </c>
      <c r="E256" s="243">
        <v>499.86</v>
      </c>
      <c r="F256" s="153">
        <v>5.6</v>
      </c>
      <c r="G256" s="232">
        <f>708.61*5.6</f>
        <v>3968.2159999999999</v>
      </c>
      <c r="H256" s="232">
        <f>708.61*82</f>
        <v>58106.020000000004</v>
      </c>
      <c r="I256" s="232">
        <f>330.34*5.6</f>
        <v>1849.9039999999998</v>
      </c>
      <c r="J256" s="232">
        <f>330.34*82</f>
        <v>27087.879999999997</v>
      </c>
      <c r="K256" s="232"/>
      <c r="L256" s="232"/>
      <c r="M256" s="232"/>
      <c r="N256" s="232"/>
      <c r="O256" s="232"/>
      <c r="P256" s="220">
        <v>0</v>
      </c>
      <c r="Q256" s="243"/>
      <c r="R256" s="244"/>
      <c r="S256" s="235"/>
    </row>
    <row r="257" spans="1:19" s="2" customFormat="1" ht="41.25" customHeight="1" x14ac:dyDescent="0.25">
      <c r="A257" s="18"/>
      <c r="B257" s="122"/>
      <c r="C257" s="132" t="s">
        <v>41</v>
      </c>
      <c r="D257" s="100" t="s">
        <v>202</v>
      </c>
      <c r="E257" s="144">
        <f>SUM(E255:E256)</f>
        <v>24604.280000000002</v>
      </c>
      <c r="F257" s="144"/>
      <c r="G257" s="87">
        <f>SUM(G255:G256)</f>
        <v>86878.805800000031</v>
      </c>
      <c r="H257" s="87">
        <f>SUM(H255:H256)</f>
        <v>787026.2799999998</v>
      </c>
      <c r="I257" s="87">
        <v>1849.9</v>
      </c>
      <c r="J257" s="87">
        <v>27087.88</v>
      </c>
      <c r="K257" s="87"/>
      <c r="L257" s="87"/>
      <c r="M257" s="87"/>
      <c r="N257" s="87"/>
      <c r="O257" s="87"/>
      <c r="P257" s="221" t="s">
        <v>197</v>
      </c>
      <c r="Q257" s="144"/>
      <c r="R257" s="213"/>
      <c r="S257" s="50"/>
    </row>
    <row r="258" spans="1:19" s="236" customFormat="1" ht="41.25" customHeight="1" x14ac:dyDescent="0.25">
      <c r="A258" s="230"/>
      <c r="B258" s="237"/>
      <c r="C258" s="131" t="s">
        <v>173</v>
      </c>
      <c r="D258" s="99" t="s">
        <v>208</v>
      </c>
      <c r="E258" s="243">
        <v>385.14</v>
      </c>
      <c r="F258" s="243" t="s">
        <v>211</v>
      </c>
      <c r="G258" s="232"/>
      <c r="H258" s="232"/>
      <c r="I258" s="232">
        <f>385.14*5.6</f>
        <v>2156.7839999999997</v>
      </c>
      <c r="J258" s="232">
        <f>385.14*95</f>
        <v>36588.299999999996</v>
      </c>
      <c r="K258" s="232"/>
      <c r="L258" s="232"/>
      <c r="M258" s="232"/>
      <c r="N258" s="232"/>
      <c r="O258" s="232"/>
      <c r="P258" s="233"/>
      <c r="Q258" s="243"/>
      <c r="R258" s="244"/>
      <c r="S258" s="235"/>
    </row>
    <row r="259" spans="1:19" s="2" customFormat="1" ht="41.25" customHeight="1" x14ac:dyDescent="0.25">
      <c r="A259" s="18"/>
      <c r="B259" s="122"/>
      <c r="C259" s="132" t="s">
        <v>41</v>
      </c>
      <c r="D259" s="100" t="s">
        <v>209</v>
      </c>
      <c r="E259" s="144">
        <f>SUM(E257:E258)</f>
        <v>24989.420000000002</v>
      </c>
      <c r="F259" s="144"/>
      <c r="G259" s="87">
        <f>SUM(G257:G258)</f>
        <v>86878.805800000031</v>
      </c>
      <c r="H259" s="87">
        <f>SUM(H257:H258)</f>
        <v>787026.2799999998</v>
      </c>
      <c r="I259" s="87">
        <f>SUM(I257:I258)</f>
        <v>4006.6839999999997</v>
      </c>
      <c r="J259" s="87">
        <f>SUM(J257:J258)</f>
        <v>63676.179999999993</v>
      </c>
      <c r="K259" s="87"/>
      <c r="L259" s="87"/>
      <c r="M259" s="87"/>
      <c r="N259" s="87"/>
      <c r="O259" s="87"/>
      <c r="P259" s="221" t="s">
        <v>197</v>
      </c>
      <c r="Q259" s="144"/>
      <c r="R259" s="213"/>
      <c r="S259" s="50"/>
    </row>
    <row r="260" spans="1:19" s="236" customFormat="1" ht="41.25" customHeight="1" x14ac:dyDescent="0.25">
      <c r="A260" s="230"/>
      <c r="B260" s="237"/>
      <c r="C260" s="131" t="s">
        <v>173</v>
      </c>
      <c r="D260" s="99" t="s">
        <v>216</v>
      </c>
      <c r="E260" s="243">
        <v>437.78</v>
      </c>
      <c r="F260" s="243" t="s">
        <v>211</v>
      </c>
      <c r="G260" s="232">
        <f>580.94*5.6</f>
        <v>3253.2640000000001</v>
      </c>
      <c r="H260" s="232">
        <f>27087.88+250.6*95</f>
        <v>50894.880000000005</v>
      </c>
      <c r="I260" s="232">
        <f>572.32*5.6</f>
        <v>3204.9920000000002</v>
      </c>
      <c r="J260" s="232">
        <f>572.32*95</f>
        <v>54370.400000000001</v>
      </c>
      <c r="K260" s="232"/>
      <c r="L260" s="232"/>
      <c r="M260" s="232"/>
      <c r="N260" s="232"/>
      <c r="O260" s="232"/>
      <c r="P260" s="233"/>
      <c r="Q260" s="243"/>
      <c r="R260" s="244"/>
      <c r="S260" s="235"/>
    </row>
    <row r="261" spans="1:19" s="2" customFormat="1" ht="41.25" customHeight="1" x14ac:dyDescent="0.25">
      <c r="A261" s="18"/>
      <c r="B261" s="122"/>
      <c r="C261" s="132" t="s">
        <v>41</v>
      </c>
      <c r="D261" s="100" t="s">
        <v>217</v>
      </c>
      <c r="E261" s="144">
        <f>SUM(E259:E260)</f>
        <v>25427.200000000001</v>
      </c>
      <c r="F261" s="144"/>
      <c r="G261" s="87">
        <f>SUM(G259:G260)</f>
        <v>90132.069800000027</v>
      </c>
      <c r="H261" s="87">
        <f>SUM(H259:H260)</f>
        <v>837921.1599999998</v>
      </c>
      <c r="I261" s="87">
        <v>3161.65</v>
      </c>
      <c r="J261" s="87">
        <v>53635.1</v>
      </c>
      <c r="K261" s="87"/>
      <c r="L261" s="87"/>
      <c r="M261" s="87"/>
      <c r="N261" s="87"/>
      <c r="O261" s="87"/>
      <c r="P261" s="221" t="s">
        <v>197</v>
      </c>
      <c r="Q261" s="144"/>
      <c r="R261" s="213"/>
      <c r="S261" s="50"/>
    </row>
    <row r="262" spans="1:19" x14ac:dyDescent="0.25">
      <c r="A262" s="23"/>
      <c r="B262" s="23"/>
      <c r="C262" s="23"/>
      <c r="D262" s="36"/>
      <c r="E262" s="53"/>
      <c r="F262" s="35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72"/>
      <c r="S262" s="55"/>
    </row>
    <row r="263" spans="1:19" ht="27.75" customHeight="1" x14ac:dyDescent="0.25">
      <c r="A263" s="20"/>
      <c r="B263" s="115" t="s">
        <v>40</v>
      </c>
      <c r="C263" s="131" t="s">
        <v>42</v>
      </c>
      <c r="D263" s="117">
        <v>2011</v>
      </c>
      <c r="E263" s="166">
        <v>1342.2850000000001</v>
      </c>
      <c r="F263" s="142">
        <v>3.18</v>
      </c>
      <c r="G263" s="94">
        <f>E263*F263</f>
        <v>4268.4663</v>
      </c>
      <c r="H263" s="94">
        <v>4026.855</v>
      </c>
      <c r="I263" s="94"/>
      <c r="J263" s="94"/>
      <c r="K263" s="94"/>
      <c r="L263" s="129"/>
      <c r="M263" s="129"/>
      <c r="N263" s="129"/>
      <c r="O263" s="129"/>
      <c r="P263" s="94">
        <v>0</v>
      </c>
      <c r="Q263" s="73"/>
      <c r="R263" s="74"/>
      <c r="S263" s="51"/>
    </row>
    <row r="264" spans="1:19" x14ac:dyDescent="0.25">
      <c r="A264" s="16"/>
      <c r="B264" s="119"/>
      <c r="C264" s="131" t="s">
        <v>42</v>
      </c>
      <c r="D264" s="160">
        <v>2012</v>
      </c>
      <c r="E264" s="161">
        <v>1376.44</v>
      </c>
      <c r="F264" s="141">
        <v>3.18</v>
      </c>
      <c r="G264" s="94">
        <f>E264*F264</f>
        <v>4377.0792000000001</v>
      </c>
      <c r="H264" s="94">
        <v>12387.9</v>
      </c>
      <c r="I264" s="84"/>
      <c r="J264" s="84"/>
      <c r="K264" s="94"/>
      <c r="L264" s="119"/>
      <c r="M264" s="119"/>
      <c r="N264" s="119"/>
      <c r="O264" s="119"/>
      <c r="P264" s="94">
        <v>0</v>
      </c>
      <c r="Q264" s="38"/>
      <c r="R264" s="75"/>
      <c r="S264" s="51"/>
    </row>
    <row r="265" spans="1:19" ht="42.75" customHeight="1" x14ac:dyDescent="0.25">
      <c r="A265" s="18"/>
      <c r="B265" s="122"/>
      <c r="C265" s="132" t="s">
        <v>42</v>
      </c>
      <c r="D265" s="96" t="s">
        <v>25</v>
      </c>
      <c r="E265" s="89">
        <f>SUM(E263:E264)</f>
        <v>2718.7250000000004</v>
      </c>
      <c r="F265" s="89"/>
      <c r="G265" s="87">
        <f t="shared" ref="G265:H265" si="69">SUM(G263:G264)</f>
        <v>8645.5455000000002</v>
      </c>
      <c r="H265" s="87">
        <f t="shared" si="69"/>
        <v>16414.755000000001</v>
      </c>
      <c r="I265" s="87"/>
      <c r="J265" s="87"/>
      <c r="K265" s="87"/>
      <c r="L265" s="122"/>
      <c r="M265" s="122"/>
      <c r="N265" s="122"/>
      <c r="O265" s="122"/>
      <c r="P265" s="87">
        <v>0</v>
      </c>
      <c r="Q265" s="76"/>
      <c r="R265" s="77"/>
      <c r="S265" s="50"/>
    </row>
    <row r="266" spans="1:19" x14ac:dyDescent="0.25">
      <c r="A266" s="16"/>
      <c r="B266" s="119"/>
      <c r="C266" s="131" t="s">
        <v>42</v>
      </c>
      <c r="D266" s="120">
        <v>2013</v>
      </c>
      <c r="E266" s="161">
        <v>1664.8520000000001</v>
      </c>
      <c r="F266" s="141">
        <v>3.18</v>
      </c>
      <c r="G266" s="142">
        <v>5294.23</v>
      </c>
      <c r="H266" s="142">
        <v>24972.78</v>
      </c>
      <c r="I266" s="141"/>
      <c r="J266" s="141"/>
      <c r="K266" s="94"/>
      <c r="L266" s="119"/>
      <c r="M266" s="119"/>
      <c r="N266" s="119"/>
      <c r="O266" s="119"/>
      <c r="P266" s="94">
        <v>0</v>
      </c>
      <c r="Q266" s="38"/>
      <c r="R266" s="75"/>
      <c r="S266" s="51"/>
    </row>
    <row r="267" spans="1:19" ht="42.75" customHeight="1" x14ac:dyDescent="0.25">
      <c r="A267" s="18"/>
      <c r="B267" s="122"/>
      <c r="C267" s="132" t="s">
        <v>42</v>
      </c>
      <c r="D267" s="96" t="s">
        <v>38</v>
      </c>
      <c r="E267" s="89">
        <f>SUM(E265:E266)</f>
        <v>4383.5770000000002</v>
      </c>
      <c r="F267" s="89"/>
      <c r="G267" s="87">
        <f t="shared" ref="G267:H267" si="70">SUM(G265:G266)</f>
        <v>13939.7755</v>
      </c>
      <c r="H267" s="87">
        <f t="shared" si="70"/>
        <v>41387.535000000003</v>
      </c>
      <c r="I267" s="87"/>
      <c r="J267" s="87"/>
      <c r="K267" s="87"/>
      <c r="L267" s="122"/>
      <c r="M267" s="122"/>
      <c r="N267" s="122"/>
      <c r="O267" s="122"/>
      <c r="P267" s="87">
        <v>0</v>
      </c>
      <c r="Q267" s="76"/>
      <c r="R267" s="77"/>
      <c r="S267" s="50"/>
    </row>
    <row r="268" spans="1:19" x14ac:dyDescent="0.25">
      <c r="A268" s="16"/>
      <c r="B268" s="119"/>
      <c r="C268" s="131" t="s">
        <v>42</v>
      </c>
      <c r="D268" s="120">
        <v>2014</v>
      </c>
      <c r="E268" s="161">
        <v>1625.75</v>
      </c>
      <c r="F268" s="141">
        <v>3.18</v>
      </c>
      <c r="G268" s="94">
        <f>E268*F268</f>
        <v>5169.8850000000002</v>
      </c>
      <c r="H268" s="94">
        <v>35766.5</v>
      </c>
      <c r="I268" s="84"/>
      <c r="J268" s="84"/>
      <c r="K268" s="94"/>
      <c r="L268" s="119"/>
      <c r="M268" s="119"/>
      <c r="N268" s="119"/>
      <c r="O268" s="119"/>
      <c r="P268" s="94">
        <v>0</v>
      </c>
      <c r="Q268" s="38"/>
      <c r="R268" s="75"/>
      <c r="S268" s="51"/>
    </row>
    <row r="269" spans="1:19" ht="38.25" customHeight="1" x14ac:dyDescent="0.25">
      <c r="A269" s="18"/>
      <c r="B269" s="122"/>
      <c r="C269" s="132" t="s">
        <v>42</v>
      </c>
      <c r="D269" s="96" t="s">
        <v>24</v>
      </c>
      <c r="E269" s="89">
        <f>SUM(E267:E268)</f>
        <v>6009.3270000000002</v>
      </c>
      <c r="F269" s="89"/>
      <c r="G269" s="87">
        <f t="shared" ref="G269:H269" si="71">SUM(G267:G268)</f>
        <v>19109.660499999998</v>
      </c>
      <c r="H269" s="87">
        <f t="shared" si="71"/>
        <v>77154.035000000003</v>
      </c>
      <c r="I269" s="87"/>
      <c r="J269" s="87"/>
      <c r="K269" s="87"/>
      <c r="L269" s="122"/>
      <c r="M269" s="122"/>
      <c r="N269" s="122"/>
      <c r="O269" s="122"/>
      <c r="P269" s="87">
        <v>0</v>
      </c>
      <c r="Q269" s="76"/>
      <c r="R269" s="77"/>
      <c r="S269" s="50"/>
    </row>
    <row r="270" spans="1:19" x14ac:dyDescent="0.25">
      <c r="A270" s="16"/>
      <c r="B270" s="119"/>
      <c r="C270" s="131" t="s">
        <v>42</v>
      </c>
      <c r="D270" s="120">
        <v>2015</v>
      </c>
      <c r="E270" s="161">
        <v>1598.13</v>
      </c>
      <c r="F270" s="141">
        <v>3.37</v>
      </c>
      <c r="G270" s="94">
        <f>E270*F270</f>
        <v>5385.6981000000005</v>
      </c>
      <c r="H270" s="94">
        <v>44747.64</v>
      </c>
      <c r="I270" s="84"/>
      <c r="J270" s="84"/>
      <c r="K270" s="94"/>
      <c r="L270" s="119"/>
      <c r="M270" s="119"/>
      <c r="N270" s="119"/>
      <c r="O270" s="119"/>
      <c r="P270" s="94">
        <v>0</v>
      </c>
      <c r="Q270" s="38"/>
      <c r="R270" s="75"/>
      <c r="S270" s="51"/>
    </row>
    <row r="271" spans="1:19" ht="42" customHeight="1" x14ac:dyDescent="0.25">
      <c r="A271" s="18"/>
      <c r="B271" s="122"/>
      <c r="C271" s="132" t="s">
        <v>42</v>
      </c>
      <c r="D271" s="96" t="s">
        <v>26</v>
      </c>
      <c r="E271" s="89">
        <f>SUM(E269:E270)</f>
        <v>7607.4570000000003</v>
      </c>
      <c r="F271" s="89"/>
      <c r="G271" s="87">
        <f t="shared" ref="G271:H271" si="72">SUM(G269:G270)</f>
        <v>24495.3586</v>
      </c>
      <c r="H271" s="87">
        <f t="shared" si="72"/>
        <v>121901.675</v>
      </c>
      <c r="I271" s="87"/>
      <c r="J271" s="87"/>
      <c r="K271" s="87"/>
      <c r="L271" s="122"/>
      <c r="M271" s="122"/>
      <c r="N271" s="122"/>
      <c r="O271" s="122"/>
      <c r="P271" s="87">
        <v>0</v>
      </c>
      <c r="Q271" s="76"/>
      <c r="R271" s="77"/>
      <c r="S271" s="50"/>
    </row>
    <row r="272" spans="1:19" x14ac:dyDescent="0.25">
      <c r="A272" s="16"/>
      <c r="B272" s="119"/>
      <c r="C272" s="131" t="s">
        <v>42</v>
      </c>
      <c r="D272" s="99" t="s">
        <v>29</v>
      </c>
      <c r="E272" s="137">
        <v>383.74</v>
      </c>
      <c r="F272" s="141">
        <v>3.37</v>
      </c>
      <c r="G272" s="94">
        <f>E272*F272</f>
        <v>1293.2038</v>
      </c>
      <c r="H272" s="94">
        <v>13814.64</v>
      </c>
      <c r="I272" s="84"/>
      <c r="J272" s="84"/>
      <c r="K272" s="94"/>
      <c r="L272" s="119"/>
      <c r="M272" s="119"/>
      <c r="N272" s="119"/>
      <c r="O272" s="119"/>
      <c r="P272" s="94">
        <v>0</v>
      </c>
      <c r="Q272" s="38"/>
      <c r="R272" s="75"/>
      <c r="S272" s="51"/>
    </row>
    <row r="273" spans="1:16384" ht="40.5" customHeight="1" x14ac:dyDescent="0.25">
      <c r="A273" s="18"/>
      <c r="B273" s="122"/>
      <c r="C273" s="132" t="s">
        <v>42</v>
      </c>
      <c r="D273" s="100" t="s">
        <v>30</v>
      </c>
      <c r="E273" s="89">
        <f>SUM(E271:E272)</f>
        <v>7991.1970000000001</v>
      </c>
      <c r="F273" s="89"/>
      <c r="G273" s="87">
        <f t="shared" ref="G273:H273" si="73">SUM(G271:G272)</f>
        <v>25788.562399999999</v>
      </c>
      <c r="H273" s="87">
        <f t="shared" si="73"/>
        <v>135716.315</v>
      </c>
      <c r="I273" s="87"/>
      <c r="J273" s="87"/>
      <c r="K273" s="87"/>
      <c r="L273" s="122"/>
      <c r="M273" s="122"/>
      <c r="N273" s="122"/>
      <c r="O273" s="122"/>
      <c r="P273" s="87">
        <v>0</v>
      </c>
      <c r="Q273" s="76"/>
      <c r="R273" s="77"/>
      <c r="S273" s="50"/>
    </row>
    <row r="274" spans="1:16384" x14ac:dyDescent="0.25">
      <c r="A274" s="16"/>
      <c r="B274" s="119"/>
      <c r="C274" s="131" t="s">
        <v>42</v>
      </c>
      <c r="D274" s="99"/>
      <c r="E274" s="137">
        <v>534.94000000000005</v>
      </c>
      <c r="F274" s="141">
        <v>3.37</v>
      </c>
      <c r="G274" s="94">
        <f>E274*F274</f>
        <v>1802.7478000000003</v>
      </c>
      <c r="H274" s="94">
        <v>19257.84</v>
      </c>
      <c r="I274" s="84"/>
      <c r="J274" s="84"/>
      <c r="K274" s="94"/>
      <c r="L274" s="119"/>
      <c r="M274" s="119"/>
      <c r="N274" s="119"/>
      <c r="O274" s="119"/>
      <c r="P274" s="94">
        <v>0</v>
      </c>
      <c r="Q274" s="38"/>
      <c r="R274" s="75"/>
      <c r="S274" s="51"/>
    </row>
    <row r="275" spans="1:16384" ht="44.25" customHeight="1" x14ac:dyDescent="0.25">
      <c r="A275" s="16"/>
      <c r="B275" s="119"/>
      <c r="C275" s="101" t="s">
        <v>45</v>
      </c>
      <c r="D275" s="99"/>
      <c r="E275" s="137">
        <v>21.26</v>
      </c>
      <c r="F275" s="84">
        <v>0</v>
      </c>
      <c r="G275" s="94">
        <v>0</v>
      </c>
      <c r="H275" s="94">
        <v>0</v>
      </c>
      <c r="I275" s="84"/>
      <c r="J275" s="84"/>
      <c r="K275" s="84"/>
      <c r="L275" s="119"/>
      <c r="M275" s="119"/>
      <c r="N275" s="119"/>
      <c r="O275" s="119"/>
      <c r="P275" s="94"/>
      <c r="Q275" s="38"/>
      <c r="R275" s="75"/>
      <c r="S275" s="51"/>
    </row>
    <row r="276" spans="1:16384" ht="41.25" customHeight="1" x14ac:dyDescent="0.25">
      <c r="A276" s="18"/>
      <c r="B276" s="122"/>
      <c r="C276" s="132" t="s">
        <v>42</v>
      </c>
      <c r="D276" s="100" t="s">
        <v>32</v>
      </c>
      <c r="E276" s="89">
        <f>SUM(E273:E275)</f>
        <v>8547.3970000000008</v>
      </c>
      <c r="F276" s="89"/>
      <c r="G276" s="87">
        <f t="shared" ref="G276:H276" si="74">SUM(G273:G275)</f>
        <v>27591.3102</v>
      </c>
      <c r="H276" s="87">
        <f t="shared" si="74"/>
        <v>154974.155</v>
      </c>
      <c r="I276" s="87"/>
      <c r="J276" s="87"/>
      <c r="K276" s="87"/>
      <c r="L276" s="122"/>
      <c r="M276" s="122"/>
      <c r="N276" s="122"/>
      <c r="O276" s="122"/>
      <c r="P276" s="87">
        <v>0</v>
      </c>
      <c r="Q276" s="76"/>
      <c r="R276" s="77"/>
      <c r="S276" s="50"/>
    </row>
    <row r="277" spans="1:16384" x14ac:dyDescent="0.25">
      <c r="A277" s="16"/>
      <c r="B277" s="119"/>
      <c r="C277" s="131" t="s">
        <v>42</v>
      </c>
      <c r="D277" s="99" t="s">
        <v>33</v>
      </c>
      <c r="E277" s="137">
        <v>505.66</v>
      </c>
      <c r="F277" s="141">
        <v>3.37</v>
      </c>
      <c r="G277" s="94">
        <f>E277*F277</f>
        <v>1704.0742000000002</v>
      </c>
      <c r="H277" s="94">
        <v>18203.759999999998</v>
      </c>
      <c r="I277" s="84"/>
      <c r="J277" s="84"/>
      <c r="K277" s="94"/>
      <c r="L277" s="119"/>
      <c r="M277" s="119"/>
      <c r="N277" s="119"/>
      <c r="O277" s="119"/>
      <c r="P277" s="94">
        <v>4680</v>
      </c>
      <c r="Q277" s="38"/>
      <c r="R277" s="75"/>
      <c r="S277" s="51"/>
    </row>
    <row r="278" spans="1:16384" ht="42.75" customHeight="1" x14ac:dyDescent="0.25">
      <c r="A278" s="18"/>
      <c r="B278" s="122"/>
      <c r="C278" s="132" t="s">
        <v>42</v>
      </c>
      <c r="D278" s="100" t="s">
        <v>35</v>
      </c>
      <c r="E278" s="89">
        <f>SUM(E276:E277)</f>
        <v>9053.0570000000007</v>
      </c>
      <c r="F278" s="89"/>
      <c r="G278" s="87">
        <f t="shared" ref="G278:H278" si="75">SUM(G276:G277)</f>
        <v>29295.384399999999</v>
      </c>
      <c r="H278" s="87">
        <f t="shared" si="75"/>
        <v>173177.91500000001</v>
      </c>
      <c r="I278" s="87"/>
      <c r="J278" s="87"/>
      <c r="K278" s="87"/>
      <c r="L278" s="122"/>
      <c r="M278" s="122"/>
      <c r="N278" s="122"/>
      <c r="O278" s="122"/>
      <c r="P278" s="87">
        <v>4680</v>
      </c>
      <c r="Q278" s="76"/>
      <c r="R278" s="77"/>
      <c r="S278" s="50"/>
    </row>
    <row r="279" spans="1:16384" x14ac:dyDescent="0.25">
      <c r="A279" s="16"/>
      <c r="B279" s="119"/>
      <c r="C279" s="131" t="s">
        <v>42</v>
      </c>
      <c r="D279" s="99" t="s">
        <v>34</v>
      </c>
      <c r="E279" s="137">
        <v>444.6</v>
      </c>
      <c r="F279" s="141">
        <v>3.37</v>
      </c>
      <c r="G279" s="94">
        <f>E279*F279</f>
        <v>1498.3020000000001</v>
      </c>
      <c r="H279" s="94">
        <v>16005.6</v>
      </c>
      <c r="I279" s="84"/>
      <c r="J279" s="84"/>
      <c r="K279" s="94"/>
      <c r="L279" s="119"/>
      <c r="M279" s="119"/>
      <c r="N279" s="119"/>
      <c r="O279" s="119"/>
      <c r="P279" s="94">
        <v>0</v>
      </c>
      <c r="Q279" s="38"/>
      <c r="R279" s="75"/>
      <c r="S279" s="51"/>
    </row>
    <row r="280" spans="1:16384" ht="45" customHeight="1" x14ac:dyDescent="0.25">
      <c r="A280" s="18"/>
      <c r="B280" s="122"/>
      <c r="C280" s="132" t="s">
        <v>42</v>
      </c>
      <c r="D280" s="100" t="s">
        <v>36</v>
      </c>
      <c r="E280" s="89">
        <f>SUM(E278:E279)</f>
        <v>9497.6570000000011</v>
      </c>
      <c r="F280" s="89"/>
      <c r="G280" s="87">
        <f t="shared" ref="G280:H280" si="76">SUM(G278:G279)</f>
        <v>30793.686399999999</v>
      </c>
      <c r="H280" s="87">
        <f t="shared" si="76"/>
        <v>189183.51500000001</v>
      </c>
      <c r="I280" s="87"/>
      <c r="J280" s="87"/>
      <c r="K280" s="87"/>
      <c r="L280" s="122"/>
      <c r="M280" s="122"/>
      <c r="N280" s="122"/>
      <c r="O280" s="122"/>
      <c r="P280" s="87">
        <v>4680</v>
      </c>
      <c r="Q280" s="76"/>
      <c r="R280" s="77"/>
      <c r="S280" s="50"/>
      <c r="V280" s="2"/>
    </row>
    <row r="281" spans="1:16384" s="2" customFormat="1" x14ac:dyDescent="0.25">
      <c r="A281" s="20"/>
      <c r="B281" s="129"/>
      <c r="C281" s="131" t="s">
        <v>42</v>
      </c>
      <c r="D281" s="99" t="s">
        <v>57</v>
      </c>
      <c r="E281" s="93">
        <v>376.24</v>
      </c>
      <c r="F281" s="94">
        <v>3.37</v>
      </c>
      <c r="G281" s="94">
        <f>E281*F281</f>
        <v>1267.9288000000001</v>
      </c>
      <c r="H281" s="94">
        <v>15049.6</v>
      </c>
      <c r="I281" s="94"/>
      <c r="J281" s="94"/>
      <c r="K281" s="94"/>
      <c r="L281" s="129"/>
      <c r="M281" s="129"/>
      <c r="N281" s="129"/>
      <c r="O281" s="129"/>
      <c r="P281" s="94">
        <v>0</v>
      </c>
      <c r="Q281" s="73"/>
      <c r="R281" s="74"/>
      <c r="S281" s="47"/>
    </row>
    <row r="282" spans="1:16384" s="2" customFormat="1" ht="42" customHeight="1" x14ac:dyDescent="0.25">
      <c r="A282" s="18"/>
      <c r="B282" s="122"/>
      <c r="C282" s="132" t="s">
        <v>42</v>
      </c>
      <c r="D282" s="100" t="s">
        <v>58</v>
      </c>
      <c r="E282" s="89">
        <f>SUM(E280:E281)</f>
        <v>9873.8970000000008</v>
      </c>
      <c r="F282" s="89"/>
      <c r="G282" s="87">
        <f t="shared" ref="G282:H282" si="77">SUM(G280:G281)</f>
        <v>32061.6152</v>
      </c>
      <c r="H282" s="87">
        <f t="shared" si="77"/>
        <v>204233.11500000002</v>
      </c>
      <c r="I282" s="87"/>
      <c r="J282" s="87"/>
      <c r="K282" s="87"/>
      <c r="L282" s="122"/>
      <c r="M282" s="122"/>
      <c r="N282" s="122"/>
      <c r="O282" s="122"/>
      <c r="P282" s="87">
        <v>4680</v>
      </c>
      <c r="Q282" s="76"/>
      <c r="R282" s="77"/>
      <c r="S282" s="50"/>
    </row>
    <row r="283" spans="1:16384" s="2" customFormat="1" x14ac:dyDescent="0.25">
      <c r="A283" s="20"/>
      <c r="B283" s="129"/>
      <c r="C283" s="131" t="s">
        <v>42</v>
      </c>
      <c r="D283" s="99" t="s">
        <v>61</v>
      </c>
      <c r="E283" s="93">
        <v>491.04</v>
      </c>
      <c r="F283" s="94">
        <v>3.37</v>
      </c>
      <c r="G283" s="94">
        <f>E283*F283</f>
        <v>1654.8048000000001</v>
      </c>
      <c r="H283" s="94">
        <v>19641.599999999999</v>
      </c>
      <c r="I283" s="94"/>
      <c r="J283" s="94"/>
      <c r="K283" s="94"/>
      <c r="L283" s="129"/>
      <c r="M283" s="129"/>
      <c r="N283" s="129"/>
      <c r="O283" s="129"/>
      <c r="P283" s="94">
        <v>28300.07</v>
      </c>
      <c r="Q283" s="73"/>
      <c r="R283" s="74"/>
      <c r="S283" s="47"/>
    </row>
    <row r="284" spans="1:16384" s="2" customFormat="1" ht="43.5" customHeight="1" x14ac:dyDescent="0.25">
      <c r="A284" s="18"/>
      <c r="B284" s="122"/>
      <c r="C284" s="132" t="s">
        <v>42</v>
      </c>
      <c r="D284" s="100" t="s">
        <v>63</v>
      </c>
      <c r="E284" s="89">
        <f>SUM(E282:E283)</f>
        <v>10364.937000000002</v>
      </c>
      <c r="F284" s="89"/>
      <c r="G284" s="87">
        <f t="shared" ref="G284:H284" si="78">SUM(G282:G283)</f>
        <v>33716.42</v>
      </c>
      <c r="H284" s="87">
        <f t="shared" si="78"/>
        <v>223874.71500000003</v>
      </c>
      <c r="I284" s="87"/>
      <c r="J284" s="87"/>
      <c r="K284" s="87"/>
      <c r="L284" s="122"/>
      <c r="M284" s="122"/>
      <c r="N284" s="122"/>
      <c r="O284" s="122"/>
      <c r="P284" s="87">
        <f>SUM(P282:P283)</f>
        <v>32980.07</v>
      </c>
      <c r="Q284" s="76"/>
      <c r="R284" s="77"/>
      <c r="S284" s="50"/>
    </row>
    <row r="285" spans="1:16384" s="2" customFormat="1" ht="17.25" customHeight="1" x14ac:dyDescent="0.25">
      <c r="A285" s="194"/>
      <c r="B285" s="195"/>
      <c r="C285" s="131" t="s">
        <v>42</v>
      </c>
      <c r="D285" s="196" t="s">
        <v>64</v>
      </c>
      <c r="E285" s="147">
        <v>509.14</v>
      </c>
      <c r="F285" s="148">
        <v>3.37</v>
      </c>
      <c r="G285" s="148">
        <f>E285*F285</f>
        <v>1715.8018</v>
      </c>
      <c r="H285" s="148">
        <v>20365.599999999999</v>
      </c>
      <c r="I285" s="148"/>
      <c r="J285" s="148"/>
      <c r="K285" s="148"/>
      <c r="L285" s="195"/>
      <c r="M285" s="195"/>
      <c r="N285" s="195"/>
      <c r="O285" s="195"/>
      <c r="P285" s="148">
        <v>0</v>
      </c>
      <c r="Q285" s="197"/>
      <c r="R285" s="198"/>
      <c r="S285" s="199"/>
    </row>
    <row r="286" spans="1:16384" s="209" customFormat="1" ht="42.75" customHeight="1" x14ac:dyDescent="0.25">
      <c r="A286" s="162"/>
      <c r="B286" s="162"/>
      <c r="C286" s="178" t="s">
        <v>45</v>
      </c>
      <c r="D286" s="162"/>
      <c r="E286" s="162">
        <v>9.24</v>
      </c>
      <c r="F286" s="94">
        <v>0</v>
      </c>
      <c r="G286" s="94">
        <v>0</v>
      </c>
      <c r="H286" s="94">
        <v>0</v>
      </c>
      <c r="I286" s="94"/>
      <c r="J286" s="94"/>
      <c r="K286" s="94"/>
      <c r="L286" s="162"/>
      <c r="M286" s="162"/>
      <c r="N286" s="162"/>
      <c r="O286" s="162"/>
      <c r="P286" s="162"/>
      <c r="Q286" s="162"/>
      <c r="R286" s="162"/>
      <c r="S286" s="162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  <c r="BI286" s="208"/>
      <c r="BJ286" s="208"/>
      <c r="BK286" s="208"/>
      <c r="BL286" s="208"/>
      <c r="BM286" s="208"/>
      <c r="BN286" s="208"/>
      <c r="BO286" s="208"/>
      <c r="BP286" s="208"/>
      <c r="BQ286" s="208"/>
      <c r="BR286" s="208"/>
      <c r="BS286" s="208"/>
      <c r="BT286" s="208"/>
      <c r="BU286" s="208"/>
      <c r="BV286" s="208"/>
      <c r="BW286" s="208"/>
      <c r="BX286" s="208"/>
      <c r="BY286" s="208"/>
      <c r="BZ286" s="208"/>
      <c r="CA286" s="208"/>
      <c r="CB286" s="208"/>
      <c r="CC286" s="208"/>
      <c r="CD286" s="208"/>
      <c r="CE286" s="208"/>
      <c r="CF286" s="208"/>
      <c r="CG286" s="208"/>
      <c r="CH286" s="208"/>
      <c r="CI286" s="208"/>
      <c r="CJ286" s="208"/>
      <c r="CK286" s="208"/>
      <c r="CL286" s="208"/>
      <c r="CM286" s="208"/>
      <c r="CN286" s="208"/>
      <c r="CO286" s="208"/>
      <c r="CP286" s="208"/>
      <c r="CQ286" s="208"/>
      <c r="CR286" s="208"/>
      <c r="CS286" s="208"/>
      <c r="CT286" s="208"/>
      <c r="CU286" s="208"/>
      <c r="CV286" s="208"/>
      <c r="CW286" s="208"/>
      <c r="CX286" s="208"/>
      <c r="CY286" s="208"/>
      <c r="CZ286" s="208"/>
      <c r="DA286" s="208"/>
      <c r="DB286" s="208"/>
      <c r="DC286" s="208"/>
      <c r="DD286" s="208"/>
      <c r="DE286" s="208"/>
      <c r="DF286" s="208"/>
      <c r="DG286" s="208"/>
      <c r="DH286" s="208"/>
      <c r="DI286" s="208"/>
      <c r="DJ286" s="208"/>
      <c r="DK286" s="208"/>
      <c r="DL286" s="208"/>
      <c r="DM286" s="208"/>
      <c r="DN286" s="208"/>
      <c r="DO286" s="208"/>
      <c r="DP286" s="208"/>
      <c r="DQ286" s="208"/>
      <c r="DR286" s="208"/>
      <c r="DS286" s="208"/>
      <c r="DT286" s="208"/>
      <c r="DU286" s="208"/>
      <c r="DV286" s="208"/>
      <c r="DW286" s="208"/>
      <c r="DX286" s="208"/>
      <c r="DY286" s="208"/>
      <c r="DZ286" s="208"/>
      <c r="EA286" s="208"/>
      <c r="EB286" s="208"/>
      <c r="EC286" s="208"/>
      <c r="ED286" s="208"/>
      <c r="EE286" s="208"/>
      <c r="EF286" s="208"/>
      <c r="EG286" s="208"/>
      <c r="EH286" s="208"/>
      <c r="EI286" s="208"/>
      <c r="EJ286" s="208"/>
      <c r="EK286" s="208"/>
      <c r="EL286" s="208"/>
      <c r="EM286" s="208"/>
      <c r="EN286" s="208"/>
      <c r="EO286" s="208"/>
      <c r="EP286" s="208"/>
      <c r="EQ286" s="208"/>
      <c r="ER286" s="208"/>
      <c r="ES286" s="208"/>
      <c r="ET286" s="208"/>
      <c r="EU286" s="208"/>
      <c r="EV286" s="208"/>
      <c r="EW286" s="208"/>
      <c r="EX286" s="208"/>
      <c r="EY286" s="208"/>
      <c r="EZ286" s="208"/>
      <c r="FA286" s="208"/>
      <c r="FB286" s="208"/>
      <c r="FC286" s="208"/>
      <c r="FD286" s="208"/>
      <c r="FE286" s="208"/>
      <c r="FF286" s="208"/>
      <c r="FG286" s="208"/>
      <c r="FH286" s="208"/>
      <c r="FI286" s="208"/>
      <c r="FJ286" s="208"/>
      <c r="FK286" s="208"/>
      <c r="FL286" s="208"/>
      <c r="FM286" s="208"/>
      <c r="FN286" s="208"/>
      <c r="FO286" s="208"/>
      <c r="FP286" s="208"/>
      <c r="FQ286" s="208"/>
      <c r="FR286" s="208"/>
      <c r="FS286" s="208"/>
      <c r="FT286" s="208"/>
      <c r="FU286" s="208"/>
      <c r="FV286" s="208"/>
      <c r="FW286" s="208"/>
      <c r="FX286" s="208"/>
      <c r="FY286" s="208"/>
      <c r="FZ286" s="208"/>
      <c r="GA286" s="208"/>
      <c r="GB286" s="208"/>
      <c r="GC286" s="208"/>
      <c r="GD286" s="208"/>
      <c r="GE286" s="208"/>
      <c r="GF286" s="208"/>
      <c r="GG286" s="208"/>
      <c r="GH286" s="208"/>
      <c r="GI286" s="208"/>
      <c r="GJ286" s="208"/>
      <c r="GK286" s="208"/>
      <c r="GL286" s="208"/>
      <c r="GM286" s="208"/>
      <c r="GN286" s="208"/>
      <c r="GO286" s="208"/>
      <c r="GP286" s="208"/>
      <c r="GQ286" s="208"/>
      <c r="GR286" s="208"/>
      <c r="GS286" s="208"/>
      <c r="GT286" s="208"/>
      <c r="GU286" s="208"/>
      <c r="GV286" s="208"/>
      <c r="GW286" s="208"/>
      <c r="GX286" s="208"/>
      <c r="GY286" s="208"/>
      <c r="GZ286" s="208"/>
      <c r="HA286" s="208"/>
      <c r="HB286" s="208"/>
      <c r="HC286" s="208"/>
      <c r="HD286" s="208"/>
      <c r="HE286" s="208"/>
      <c r="HF286" s="208"/>
      <c r="HG286" s="208"/>
      <c r="HH286" s="208"/>
      <c r="HI286" s="208"/>
      <c r="HJ286" s="208"/>
      <c r="HK286" s="208"/>
      <c r="HL286" s="208"/>
      <c r="HM286" s="208"/>
      <c r="HN286" s="208"/>
      <c r="HO286" s="208"/>
      <c r="HP286" s="208"/>
      <c r="HQ286" s="208"/>
      <c r="HR286" s="208"/>
      <c r="HS286" s="208"/>
      <c r="HT286" s="208"/>
      <c r="HU286" s="208"/>
      <c r="HV286" s="208"/>
      <c r="HW286" s="208"/>
      <c r="HX286" s="208"/>
      <c r="HY286" s="208"/>
      <c r="HZ286" s="208"/>
      <c r="IA286" s="208"/>
      <c r="IB286" s="208"/>
      <c r="IC286" s="208"/>
      <c r="ID286" s="208"/>
      <c r="IE286" s="208"/>
      <c r="IF286" s="208"/>
      <c r="IG286" s="208"/>
      <c r="IH286" s="208"/>
      <c r="II286" s="208"/>
      <c r="IJ286" s="208"/>
      <c r="IK286" s="208"/>
      <c r="IL286" s="208"/>
      <c r="IM286" s="208"/>
      <c r="IN286" s="208"/>
      <c r="IO286" s="208"/>
      <c r="IP286" s="208"/>
      <c r="IQ286" s="208"/>
      <c r="IR286" s="208"/>
      <c r="IS286" s="208"/>
      <c r="IT286" s="208"/>
      <c r="IU286" s="208"/>
      <c r="IV286" s="208"/>
      <c r="IW286" s="208"/>
      <c r="IX286" s="208"/>
      <c r="IY286" s="208"/>
      <c r="IZ286" s="208"/>
      <c r="JA286" s="208"/>
      <c r="JB286" s="208"/>
      <c r="JC286" s="208"/>
      <c r="JD286" s="208"/>
      <c r="JE286" s="208"/>
      <c r="JF286" s="208"/>
      <c r="JG286" s="208"/>
      <c r="JH286" s="208"/>
      <c r="JI286" s="208"/>
      <c r="JJ286" s="208"/>
      <c r="JK286" s="208"/>
      <c r="JL286" s="208"/>
      <c r="JM286" s="208"/>
      <c r="JN286" s="208"/>
      <c r="JO286" s="208"/>
      <c r="JP286" s="208"/>
      <c r="JQ286" s="208"/>
      <c r="JR286" s="208"/>
      <c r="JS286" s="208"/>
      <c r="JT286" s="208"/>
      <c r="JU286" s="208"/>
      <c r="JV286" s="208"/>
      <c r="JW286" s="208"/>
      <c r="JX286" s="208"/>
      <c r="JY286" s="208"/>
      <c r="JZ286" s="208"/>
      <c r="KA286" s="208"/>
      <c r="KB286" s="208"/>
      <c r="KC286" s="208"/>
      <c r="KD286" s="208"/>
      <c r="KE286" s="208"/>
      <c r="KF286" s="208"/>
      <c r="KG286" s="208"/>
      <c r="KH286" s="208"/>
      <c r="KI286" s="208"/>
      <c r="KJ286" s="208"/>
      <c r="KK286" s="208"/>
      <c r="KL286" s="208"/>
      <c r="KM286" s="208"/>
      <c r="KN286" s="208"/>
      <c r="KO286" s="208"/>
      <c r="KP286" s="208"/>
      <c r="KQ286" s="208"/>
      <c r="KR286" s="208"/>
      <c r="KS286" s="208"/>
      <c r="KT286" s="208"/>
      <c r="KU286" s="208"/>
      <c r="KV286" s="208"/>
      <c r="KW286" s="208"/>
      <c r="KX286" s="208"/>
      <c r="KY286" s="208"/>
      <c r="KZ286" s="208"/>
      <c r="LA286" s="208"/>
      <c r="LB286" s="208"/>
      <c r="LC286" s="208"/>
      <c r="LD286" s="208"/>
      <c r="LE286" s="208"/>
      <c r="LF286" s="208"/>
      <c r="LG286" s="208"/>
      <c r="LH286" s="208"/>
      <c r="LI286" s="208"/>
      <c r="LJ286" s="208"/>
      <c r="LK286" s="208"/>
      <c r="LL286" s="208"/>
      <c r="LM286" s="208"/>
      <c r="LN286" s="208"/>
      <c r="LO286" s="208"/>
      <c r="LP286" s="208"/>
      <c r="LQ286" s="208"/>
      <c r="LR286" s="208"/>
      <c r="LS286" s="208"/>
      <c r="LT286" s="208"/>
      <c r="LU286" s="208"/>
      <c r="LV286" s="208"/>
      <c r="LW286" s="208"/>
      <c r="LX286" s="208"/>
      <c r="LY286" s="208"/>
      <c r="LZ286" s="208"/>
      <c r="MA286" s="208"/>
      <c r="MB286" s="208"/>
      <c r="MC286" s="208"/>
      <c r="MD286" s="208"/>
      <c r="ME286" s="208"/>
      <c r="MF286" s="208"/>
      <c r="MG286" s="208"/>
      <c r="MH286" s="208"/>
      <c r="MI286" s="208"/>
      <c r="MJ286" s="208"/>
      <c r="MK286" s="208"/>
      <c r="ML286" s="208"/>
      <c r="MM286" s="208"/>
      <c r="MN286" s="208"/>
      <c r="MO286" s="208"/>
      <c r="MP286" s="208"/>
      <c r="MQ286" s="208"/>
      <c r="MR286" s="208"/>
      <c r="MS286" s="208"/>
      <c r="MT286" s="208"/>
      <c r="MU286" s="208"/>
      <c r="MV286" s="208"/>
      <c r="MW286" s="208"/>
      <c r="MX286" s="208"/>
      <c r="MY286" s="208"/>
      <c r="MZ286" s="208"/>
      <c r="NA286" s="208"/>
      <c r="NB286" s="208"/>
      <c r="NC286" s="208"/>
      <c r="ND286" s="208"/>
      <c r="NE286" s="208"/>
      <c r="NF286" s="208"/>
      <c r="NG286" s="208"/>
      <c r="NH286" s="208"/>
      <c r="NI286" s="208"/>
      <c r="NJ286" s="208"/>
      <c r="NK286" s="208"/>
      <c r="NL286" s="208"/>
      <c r="NM286" s="208"/>
      <c r="NN286" s="208"/>
      <c r="NO286" s="208"/>
      <c r="NP286" s="208"/>
      <c r="NQ286" s="208"/>
      <c r="NR286" s="208"/>
      <c r="NS286" s="208"/>
      <c r="NT286" s="208"/>
      <c r="NU286" s="208"/>
      <c r="NV286" s="208"/>
      <c r="NW286" s="208"/>
      <c r="NX286" s="208"/>
      <c r="NY286" s="208"/>
      <c r="NZ286" s="208"/>
      <c r="OA286" s="208"/>
      <c r="OB286" s="208"/>
      <c r="OC286" s="208"/>
      <c r="OD286" s="208"/>
      <c r="OE286" s="208"/>
      <c r="OF286" s="208"/>
      <c r="OG286" s="208"/>
      <c r="OH286" s="208"/>
      <c r="OI286" s="208"/>
      <c r="OJ286" s="208"/>
      <c r="OK286" s="208"/>
      <c r="OL286" s="208"/>
      <c r="OM286" s="208"/>
      <c r="ON286" s="208"/>
      <c r="OO286" s="208"/>
      <c r="OP286" s="208"/>
      <c r="OQ286" s="208"/>
      <c r="OR286" s="208"/>
      <c r="OS286" s="208"/>
      <c r="OT286" s="208"/>
      <c r="OU286" s="208"/>
      <c r="OV286" s="208"/>
      <c r="OW286" s="208"/>
      <c r="OX286" s="208"/>
      <c r="OY286" s="208"/>
      <c r="OZ286" s="208"/>
      <c r="PA286" s="208"/>
      <c r="PB286" s="208"/>
      <c r="PC286" s="208"/>
      <c r="PD286" s="208"/>
      <c r="PE286" s="208"/>
      <c r="PF286" s="208"/>
      <c r="PG286" s="208"/>
      <c r="PH286" s="208"/>
      <c r="PI286" s="208"/>
      <c r="PJ286" s="208"/>
      <c r="PK286" s="208"/>
      <c r="PL286" s="208"/>
      <c r="PM286" s="208"/>
      <c r="PN286" s="208"/>
      <c r="PO286" s="208"/>
      <c r="PP286" s="208"/>
      <c r="PQ286" s="208"/>
      <c r="PR286" s="208"/>
      <c r="PS286" s="208"/>
      <c r="PT286" s="208"/>
      <c r="PU286" s="208"/>
      <c r="PV286" s="208"/>
      <c r="PW286" s="208"/>
      <c r="PX286" s="208"/>
      <c r="PY286" s="208"/>
      <c r="PZ286" s="208"/>
      <c r="QA286" s="208"/>
      <c r="QB286" s="208"/>
      <c r="QC286" s="208"/>
      <c r="QD286" s="208"/>
      <c r="QE286" s="208"/>
      <c r="QF286" s="208"/>
      <c r="QG286" s="208"/>
      <c r="QH286" s="208"/>
      <c r="QI286" s="208"/>
      <c r="QJ286" s="208"/>
      <c r="QK286" s="208"/>
      <c r="QL286" s="208"/>
      <c r="QM286" s="208"/>
      <c r="QN286" s="208"/>
      <c r="QO286" s="208"/>
      <c r="QP286" s="208"/>
      <c r="QQ286" s="208"/>
      <c r="QR286" s="208"/>
      <c r="QS286" s="208"/>
      <c r="QT286" s="208"/>
      <c r="QU286" s="208"/>
      <c r="QV286" s="208"/>
      <c r="QW286" s="208"/>
      <c r="QX286" s="208"/>
      <c r="QY286" s="208"/>
      <c r="QZ286" s="208"/>
      <c r="RA286" s="208"/>
      <c r="RB286" s="208"/>
      <c r="RC286" s="208"/>
      <c r="RD286" s="208"/>
      <c r="RE286" s="208"/>
      <c r="RF286" s="208"/>
      <c r="RG286" s="208"/>
      <c r="RH286" s="208"/>
      <c r="RI286" s="208"/>
      <c r="RJ286" s="208"/>
      <c r="RK286" s="208"/>
      <c r="RL286" s="208"/>
      <c r="RM286" s="208"/>
      <c r="RN286" s="208"/>
      <c r="RO286" s="208"/>
      <c r="RP286" s="208"/>
      <c r="RQ286" s="208"/>
      <c r="RR286" s="208"/>
      <c r="RS286" s="208"/>
      <c r="RT286" s="208"/>
      <c r="RU286" s="208"/>
      <c r="RV286" s="208"/>
      <c r="RW286" s="208"/>
      <c r="RX286" s="208"/>
      <c r="RY286" s="208"/>
      <c r="RZ286" s="208"/>
      <c r="SA286" s="208"/>
      <c r="SB286" s="208"/>
      <c r="SC286" s="208"/>
      <c r="SD286" s="208"/>
      <c r="SE286" s="208"/>
      <c r="SF286" s="208"/>
      <c r="SG286" s="208"/>
      <c r="SH286" s="208"/>
      <c r="SI286" s="208"/>
      <c r="SJ286" s="208"/>
      <c r="SK286" s="208"/>
      <c r="SL286" s="208"/>
      <c r="SM286" s="208"/>
      <c r="SN286" s="208"/>
      <c r="SO286" s="208"/>
      <c r="SP286" s="208"/>
      <c r="SQ286" s="208"/>
      <c r="SR286" s="208"/>
      <c r="SS286" s="208"/>
      <c r="ST286" s="208"/>
      <c r="SU286" s="208"/>
      <c r="SV286" s="208"/>
      <c r="SW286" s="208"/>
      <c r="SX286" s="208"/>
      <c r="SY286" s="208"/>
      <c r="SZ286" s="208"/>
      <c r="TA286" s="208"/>
      <c r="TB286" s="208"/>
      <c r="TC286" s="208"/>
      <c r="TD286" s="208"/>
      <c r="TE286" s="208"/>
      <c r="TF286" s="208"/>
      <c r="TG286" s="208"/>
      <c r="TH286" s="208"/>
      <c r="TI286" s="208"/>
      <c r="TJ286" s="208"/>
      <c r="TK286" s="208"/>
      <c r="TL286" s="208"/>
      <c r="TM286" s="208"/>
      <c r="TN286" s="208"/>
      <c r="TO286" s="208"/>
      <c r="TP286" s="208"/>
      <c r="TQ286" s="208"/>
      <c r="TR286" s="208"/>
      <c r="TS286" s="208"/>
      <c r="TT286" s="208"/>
      <c r="TU286" s="208"/>
      <c r="TV286" s="208"/>
      <c r="TW286" s="208"/>
      <c r="TX286" s="208"/>
      <c r="TY286" s="208"/>
      <c r="TZ286" s="208"/>
      <c r="UA286" s="208"/>
      <c r="UB286" s="208"/>
      <c r="UC286" s="208"/>
      <c r="UD286" s="208"/>
      <c r="UE286" s="208"/>
      <c r="UF286" s="208"/>
      <c r="UG286" s="208"/>
      <c r="UH286" s="208"/>
      <c r="UI286" s="208"/>
      <c r="UJ286" s="208"/>
      <c r="UK286" s="208"/>
      <c r="UL286" s="208"/>
      <c r="UM286" s="208"/>
      <c r="UN286" s="208"/>
      <c r="UO286" s="208"/>
      <c r="UP286" s="208"/>
      <c r="UQ286" s="208"/>
      <c r="UR286" s="208"/>
      <c r="US286" s="208"/>
      <c r="UT286" s="208"/>
      <c r="UU286" s="208"/>
      <c r="UV286" s="208"/>
      <c r="UW286" s="208"/>
      <c r="UX286" s="208"/>
      <c r="UY286" s="208"/>
      <c r="UZ286" s="208"/>
      <c r="VA286" s="208"/>
      <c r="VB286" s="208"/>
      <c r="VC286" s="208"/>
      <c r="VD286" s="208"/>
      <c r="VE286" s="208"/>
      <c r="VF286" s="208"/>
      <c r="VG286" s="208"/>
      <c r="VH286" s="208"/>
      <c r="VI286" s="208"/>
      <c r="VJ286" s="208"/>
      <c r="VK286" s="208"/>
      <c r="VL286" s="208"/>
      <c r="VM286" s="208"/>
      <c r="VN286" s="208"/>
      <c r="VO286" s="208"/>
      <c r="VP286" s="208"/>
      <c r="VQ286" s="208"/>
      <c r="VR286" s="208"/>
      <c r="VS286" s="208"/>
      <c r="VT286" s="208"/>
      <c r="VU286" s="208"/>
      <c r="VV286" s="208"/>
      <c r="VW286" s="208"/>
      <c r="VX286" s="208"/>
      <c r="VY286" s="208"/>
      <c r="VZ286" s="208"/>
      <c r="WA286" s="208"/>
      <c r="WB286" s="208"/>
      <c r="WC286" s="208"/>
      <c r="WD286" s="208"/>
      <c r="WE286" s="208"/>
      <c r="WF286" s="208"/>
      <c r="WG286" s="208"/>
      <c r="WH286" s="208"/>
      <c r="WI286" s="208"/>
      <c r="WJ286" s="208"/>
      <c r="WK286" s="208"/>
      <c r="WL286" s="208"/>
      <c r="WM286" s="208"/>
      <c r="WN286" s="208"/>
      <c r="WO286" s="208"/>
      <c r="WP286" s="208"/>
      <c r="WQ286" s="208"/>
      <c r="WR286" s="208"/>
      <c r="WS286" s="208"/>
      <c r="WT286" s="208"/>
      <c r="WU286" s="208"/>
      <c r="WV286" s="208"/>
      <c r="WW286" s="208"/>
      <c r="WX286" s="208"/>
      <c r="WY286" s="208"/>
      <c r="WZ286" s="208"/>
      <c r="XA286" s="208"/>
      <c r="XB286" s="208"/>
      <c r="XC286" s="208"/>
      <c r="XD286" s="208"/>
      <c r="XE286" s="208"/>
      <c r="XF286" s="208"/>
      <c r="XG286" s="208"/>
      <c r="XH286" s="208"/>
      <c r="XI286" s="208"/>
      <c r="XJ286" s="208"/>
      <c r="XK286" s="208"/>
      <c r="XL286" s="208"/>
      <c r="XM286" s="208"/>
      <c r="XN286" s="208"/>
      <c r="XO286" s="208"/>
      <c r="XP286" s="208"/>
      <c r="XQ286" s="208"/>
      <c r="XR286" s="208"/>
      <c r="XS286" s="208"/>
      <c r="XT286" s="208"/>
      <c r="XU286" s="208"/>
      <c r="XV286" s="208"/>
      <c r="XW286" s="208"/>
      <c r="XX286" s="208"/>
      <c r="XY286" s="208"/>
      <c r="XZ286" s="208"/>
      <c r="YA286" s="208"/>
      <c r="YB286" s="208"/>
      <c r="YC286" s="208"/>
      <c r="YD286" s="208"/>
      <c r="YE286" s="208"/>
      <c r="YF286" s="208"/>
      <c r="YG286" s="208"/>
      <c r="YH286" s="208"/>
      <c r="YI286" s="208"/>
      <c r="YJ286" s="208"/>
      <c r="YK286" s="208"/>
      <c r="YL286" s="208"/>
      <c r="YM286" s="208"/>
      <c r="YN286" s="208"/>
      <c r="YO286" s="208"/>
      <c r="YP286" s="208"/>
      <c r="YQ286" s="208"/>
      <c r="YR286" s="208"/>
      <c r="YS286" s="208"/>
      <c r="YT286" s="208"/>
      <c r="YU286" s="208"/>
      <c r="YV286" s="208"/>
      <c r="YW286" s="208"/>
      <c r="YX286" s="208"/>
      <c r="YY286" s="208"/>
      <c r="YZ286" s="208"/>
      <c r="ZA286" s="208"/>
      <c r="ZB286" s="208"/>
      <c r="ZC286" s="208"/>
      <c r="ZD286" s="208"/>
      <c r="ZE286" s="208"/>
      <c r="ZF286" s="208"/>
      <c r="ZG286" s="208"/>
      <c r="ZH286" s="208"/>
      <c r="ZI286" s="208"/>
      <c r="ZJ286" s="208"/>
      <c r="ZK286" s="208"/>
      <c r="ZL286" s="208"/>
      <c r="ZM286" s="208"/>
      <c r="ZN286" s="208"/>
      <c r="ZO286" s="208"/>
      <c r="ZP286" s="208"/>
      <c r="ZQ286" s="208"/>
      <c r="ZR286" s="208"/>
      <c r="ZS286" s="208"/>
      <c r="ZT286" s="208"/>
      <c r="ZU286" s="208"/>
      <c r="ZV286" s="208"/>
      <c r="ZW286" s="208"/>
      <c r="ZX286" s="208"/>
      <c r="ZY286" s="208"/>
      <c r="ZZ286" s="208"/>
      <c r="AAA286" s="208"/>
      <c r="AAB286" s="208"/>
      <c r="AAC286" s="208"/>
      <c r="AAD286" s="208"/>
      <c r="AAE286" s="208"/>
      <c r="AAF286" s="208"/>
      <c r="AAG286" s="208"/>
      <c r="AAH286" s="208"/>
      <c r="AAI286" s="208"/>
      <c r="AAJ286" s="208"/>
      <c r="AAK286" s="208"/>
      <c r="AAL286" s="208"/>
      <c r="AAM286" s="208"/>
      <c r="AAN286" s="208"/>
      <c r="AAO286" s="208"/>
      <c r="AAP286" s="208"/>
      <c r="AAQ286" s="208"/>
      <c r="AAR286" s="208"/>
      <c r="AAS286" s="208"/>
      <c r="AAT286" s="208"/>
      <c r="AAU286" s="208"/>
      <c r="AAV286" s="208"/>
      <c r="AAW286" s="208"/>
      <c r="AAX286" s="208"/>
      <c r="AAY286" s="208"/>
      <c r="AAZ286" s="208"/>
      <c r="ABA286" s="208"/>
      <c r="ABB286" s="208"/>
      <c r="ABC286" s="208"/>
      <c r="ABD286" s="208"/>
      <c r="ABE286" s="208"/>
      <c r="ABF286" s="208"/>
      <c r="ABG286" s="208"/>
      <c r="ABH286" s="208"/>
      <c r="ABI286" s="208"/>
      <c r="ABJ286" s="208"/>
      <c r="ABK286" s="208"/>
      <c r="ABL286" s="208"/>
      <c r="ABM286" s="208"/>
      <c r="ABN286" s="208"/>
      <c r="ABO286" s="208"/>
      <c r="ABP286" s="208"/>
      <c r="ABQ286" s="208"/>
      <c r="ABR286" s="208"/>
      <c r="ABS286" s="208"/>
      <c r="ABT286" s="208"/>
      <c r="ABU286" s="208"/>
      <c r="ABV286" s="208"/>
      <c r="ABW286" s="208"/>
      <c r="ABX286" s="208"/>
      <c r="ABY286" s="208"/>
      <c r="ABZ286" s="208"/>
      <c r="ACA286" s="208"/>
      <c r="ACB286" s="208"/>
      <c r="ACC286" s="208"/>
      <c r="ACD286" s="208"/>
      <c r="ACE286" s="208"/>
      <c r="ACF286" s="208"/>
      <c r="ACG286" s="208"/>
      <c r="ACH286" s="208"/>
      <c r="ACI286" s="208"/>
      <c r="ACJ286" s="208"/>
      <c r="ACK286" s="208"/>
      <c r="ACL286" s="208"/>
      <c r="ACM286" s="208"/>
      <c r="ACN286" s="208"/>
      <c r="ACO286" s="208"/>
      <c r="ACP286" s="208"/>
      <c r="ACQ286" s="208"/>
      <c r="ACR286" s="208"/>
      <c r="ACS286" s="208"/>
      <c r="ACT286" s="208"/>
      <c r="ACU286" s="208"/>
      <c r="ACV286" s="208"/>
      <c r="ACW286" s="208"/>
      <c r="ACX286" s="208"/>
      <c r="ACY286" s="208"/>
      <c r="ACZ286" s="208"/>
      <c r="ADA286" s="208"/>
      <c r="ADB286" s="208"/>
      <c r="ADC286" s="208"/>
      <c r="ADD286" s="208"/>
      <c r="ADE286" s="208"/>
      <c r="ADF286" s="208"/>
      <c r="ADG286" s="208"/>
      <c r="ADH286" s="208"/>
      <c r="ADI286" s="208"/>
      <c r="ADJ286" s="208"/>
      <c r="ADK286" s="208"/>
      <c r="ADL286" s="208"/>
      <c r="ADM286" s="208"/>
      <c r="ADN286" s="208"/>
      <c r="ADO286" s="208"/>
      <c r="ADP286" s="208"/>
      <c r="ADQ286" s="208"/>
      <c r="ADR286" s="208"/>
      <c r="ADS286" s="208"/>
      <c r="ADT286" s="208"/>
      <c r="ADU286" s="208"/>
      <c r="ADV286" s="208"/>
      <c r="ADW286" s="208"/>
      <c r="ADX286" s="208"/>
      <c r="ADY286" s="208"/>
      <c r="ADZ286" s="208"/>
      <c r="AEA286" s="208"/>
      <c r="AEB286" s="208"/>
      <c r="AEC286" s="208"/>
      <c r="AED286" s="208"/>
      <c r="AEE286" s="208"/>
      <c r="AEF286" s="208"/>
      <c r="AEG286" s="208"/>
      <c r="AEH286" s="208"/>
      <c r="AEI286" s="208"/>
      <c r="AEJ286" s="208"/>
      <c r="AEK286" s="208"/>
      <c r="AEL286" s="208"/>
      <c r="AEM286" s="208"/>
      <c r="AEN286" s="208"/>
      <c r="AEO286" s="208"/>
      <c r="AEP286" s="208"/>
      <c r="AEQ286" s="208"/>
      <c r="AER286" s="208"/>
      <c r="AES286" s="208"/>
      <c r="AET286" s="208"/>
      <c r="AEU286" s="208"/>
      <c r="AEV286" s="208"/>
      <c r="AEW286" s="208"/>
      <c r="AEX286" s="208"/>
      <c r="AEY286" s="208"/>
      <c r="AEZ286" s="208"/>
      <c r="AFA286" s="208"/>
      <c r="AFB286" s="208"/>
      <c r="AFC286" s="208"/>
      <c r="AFD286" s="208"/>
      <c r="AFE286" s="208"/>
      <c r="AFF286" s="208"/>
      <c r="AFG286" s="208"/>
      <c r="AFH286" s="208"/>
      <c r="AFI286" s="208"/>
      <c r="AFJ286" s="208"/>
      <c r="AFK286" s="208"/>
      <c r="AFL286" s="208"/>
      <c r="AFM286" s="208"/>
      <c r="AFN286" s="208"/>
      <c r="AFO286" s="208"/>
      <c r="AFP286" s="208"/>
      <c r="AFQ286" s="208"/>
      <c r="AFR286" s="208"/>
      <c r="AFS286" s="208"/>
      <c r="AFT286" s="208"/>
      <c r="AFU286" s="208"/>
      <c r="AFV286" s="208"/>
      <c r="AFW286" s="208"/>
      <c r="AFX286" s="208"/>
      <c r="AFY286" s="208"/>
      <c r="AFZ286" s="208"/>
      <c r="AGA286" s="208"/>
      <c r="AGB286" s="208"/>
      <c r="AGC286" s="208"/>
      <c r="AGD286" s="208"/>
      <c r="AGE286" s="208"/>
      <c r="AGF286" s="208"/>
      <c r="AGG286" s="208"/>
      <c r="AGH286" s="208"/>
      <c r="AGI286" s="208"/>
      <c r="AGJ286" s="208"/>
      <c r="AGK286" s="208"/>
      <c r="AGL286" s="208"/>
      <c r="AGM286" s="208"/>
      <c r="AGN286" s="208"/>
      <c r="AGO286" s="208"/>
      <c r="AGP286" s="208"/>
      <c r="AGQ286" s="208"/>
      <c r="AGR286" s="208"/>
      <c r="AGS286" s="208"/>
      <c r="AGT286" s="208"/>
      <c r="AGU286" s="208"/>
      <c r="AGV286" s="208"/>
      <c r="AGW286" s="208"/>
      <c r="AGX286" s="208"/>
      <c r="AGY286" s="208"/>
      <c r="AGZ286" s="208"/>
      <c r="AHA286" s="208"/>
      <c r="AHB286" s="208"/>
      <c r="AHC286" s="208"/>
      <c r="AHD286" s="208"/>
      <c r="AHE286" s="208"/>
      <c r="AHF286" s="208"/>
      <c r="AHG286" s="208"/>
      <c r="AHH286" s="208"/>
      <c r="AHI286" s="208"/>
      <c r="AHJ286" s="208"/>
      <c r="AHK286" s="208"/>
      <c r="AHL286" s="208"/>
      <c r="AHM286" s="208"/>
      <c r="AHN286" s="208"/>
      <c r="AHO286" s="208"/>
      <c r="AHP286" s="208"/>
      <c r="AHQ286" s="208"/>
      <c r="AHR286" s="208"/>
      <c r="AHS286" s="208"/>
      <c r="AHT286" s="208"/>
      <c r="AHU286" s="208"/>
      <c r="AHV286" s="208"/>
      <c r="AHW286" s="208"/>
      <c r="AHX286" s="208"/>
      <c r="AHY286" s="208"/>
      <c r="AHZ286" s="208"/>
      <c r="AIA286" s="208"/>
      <c r="AIB286" s="208"/>
      <c r="AIC286" s="208"/>
      <c r="AID286" s="208"/>
      <c r="AIE286" s="208"/>
      <c r="AIF286" s="208"/>
      <c r="AIG286" s="208"/>
      <c r="AIH286" s="208"/>
      <c r="AII286" s="208"/>
      <c r="AIJ286" s="208"/>
      <c r="AIK286" s="208"/>
      <c r="AIL286" s="208"/>
      <c r="AIM286" s="208"/>
      <c r="AIN286" s="208"/>
      <c r="AIO286" s="208"/>
      <c r="AIP286" s="208"/>
      <c r="AIQ286" s="208"/>
      <c r="AIR286" s="208"/>
      <c r="AIS286" s="208"/>
      <c r="AIT286" s="208"/>
      <c r="AIU286" s="208"/>
      <c r="AIV286" s="208"/>
      <c r="AIW286" s="208"/>
      <c r="AIX286" s="208"/>
      <c r="AIY286" s="208"/>
      <c r="AIZ286" s="208"/>
      <c r="AJA286" s="208"/>
      <c r="AJB286" s="208"/>
      <c r="AJC286" s="208"/>
      <c r="AJD286" s="208"/>
      <c r="AJE286" s="208"/>
      <c r="AJF286" s="208"/>
      <c r="AJG286" s="208"/>
      <c r="AJH286" s="208"/>
      <c r="AJI286" s="208"/>
      <c r="AJJ286" s="208"/>
      <c r="AJK286" s="208"/>
      <c r="AJL286" s="208"/>
      <c r="AJM286" s="208"/>
      <c r="AJN286" s="208"/>
      <c r="AJO286" s="208"/>
      <c r="AJP286" s="208"/>
      <c r="AJQ286" s="208"/>
      <c r="AJR286" s="208"/>
      <c r="AJS286" s="208"/>
      <c r="AJT286" s="208"/>
      <c r="AJU286" s="208"/>
      <c r="AJV286" s="208"/>
      <c r="AJW286" s="208"/>
      <c r="AJX286" s="208"/>
      <c r="AJY286" s="208"/>
      <c r="AJZ286" s="208"/>
      <c r="AKA286" s="208"/>
      <c r="AKB286" s="208"/>
      <c r="AKC286" s="208"/>
      <c r="AKD286" s="208"/>
      <c r="AKE286" s="208"/>
      <c r="AKF286" s="208"/>
      <c r="AKG286" s="208"/>
      <c r="AKH286" s="208"/>
      <c r="AKI286" s="208"/>
      <c r="AKJ286" s="208"/>
      <c r="AKK286" s="208"/>
      <c r="AKL286" s="208"/>
      <c r="AKM286" s="208"/>
      <c r="AKN286" s="208"/>
      <c r="AKO286" s="208"/>
      <c r="AKP286" s="208"/>
      <c r="AKQ286" s="208"/>
      <c r="AKR286" s="208"/>
      <c r="AKS286" s="208"/>
      <c r="AKT286" s="208"/>
      <c r="AKU286" s="208"/>
      <c r="AKV286" s="208"/>
      <c r="AKW286" s="208"/>
      <c r="AKX286" s="208"/>
      <c r="AKY286" s="208"/>
      <c r="AKZ286" s="208"/>
      <c r="ALA286" s="208"/>
      <c r="ALB286" s="208"/>
      <c r="ALC286" s="208"/>
      <c r="ALD286" s="208"/>
      <c r="ALE286" s="208"/>
      <c r="ALF286" s="208"/>
      <c r="ALG286" s="208"/>
      <c r="ALH286" s="208"/>
      <c r="ALI286" s="208"/>
      <c r="ALJ286" s="208"/>
      <c r="ALK286" s="208"/>
      <c r="ALL286" s="208"/>
      <c r="ALM286" s="208"/>
      <c r="ALN286" s="208"/>
      <c r="ALO286" s="208"/>
      <c r="ALP286" s="208"/>
      <c r="ALQ286" s="208"/>
      <c r="ALR286" s="208"/>
      <c r="ALS286" s="208"/>
      <c r="ALT286" s="208"/>
      <c r="ALU286" s="208"/>
      <c r="ALV286" s="208"/>
      <c r="ALW286" s="208"/>
      <c r="ALX286" s="208"/>
      <c r="ALY286" s="208"/>
      <c r="ALZ286" s="208"/>
      <c r="AMA286" s="208"/>
      <c r="AMB286" s="208"/>
      <c r="AMC286" s="208"/>
      <c r="AMD286" s="208"/>
      <c r="AME286" s="208"/>
      <c r="AMF286" s="208"/>
      <c r="AMG286" s="208"/>
      <c r="AMH286" s="208"/>
      <c r="AMI286" s="208"/>
      <c r="AMJ286" s="208"/>
      <c r="AMK286" s="208"/>
      <c r="AML286" s="208"/>
      <c r="AMM286" s="208"/>
      <c r="AMN286" s="208"/>
      <c r="AMO286" s="208"/>
      <c r="AMP286" s="208"/>
      <c r="AMQ286" s="208"/>
      <c r="AMR286" s="208"/>
      <c r="AMS286" s="208"/>
      <c r="AMT286" s="208"/>
      <c r="AMU286" s="208"/>
      <c r="AMV286" s="208"/>
      <c r="AMW286" s="208"/>
      <c r="AMX286" s="208"/>
      <c r="AMY286" s="208"/>
      <c r="AMZ286" s="208"/>
      <c r="ANA286" s="208"/>
      <c r="ANB286" s="208"/>
      <c r="ANC286" s="208"/>
      <c r="AND286" s="208"/>
      <c r="ANE286" s="208"/>
      <c r="ANF286" s="208"/>
      <c r="ANG286" s="208"/>
      <c r="ANH286" s="208"/>
      <c r="ANI286" s="208"/>
      <c r="ANJ286" s="208"/>
      <c r="ANK286" s="208"/>
      <c r="ANL286" s="208"/>
      <c r="ANM286" s="208"/>
      <c r="ANN286" s="208"/>
      <c r="ANO286" s="208"/>
      <c r="ANP286" s="208"/>
      <c r="ANQ286" s="208"/>
      <c r="ANR286" s="208"/>
      <c r="ANS286" s="208"/>
      <c r="ANT286" s="208"/>
      <c r="ANU286" s="208"/>
      <c r="ANV286" s="208"/>
      <c r="ANW286" s="208"/>
      <c r="ANX286" s="208"/>
      <c r="ANY286" s="208"/>
      <c r="ANZ286" s="208"/>
      <c r="AOA286" s="208"/>
      <c r="AOB286" s="208"/>
      <c r="AOC286" s="208"/>
      <c r="AOD286" s="208"/>
      <c r="AOE286" s="208"/>
      <c r="AOF286" s="208"/>
      <c r="AOG286" s="208"/>
      <c r="AOH286" s="208"/>
      <c r="AOI286" s="208"/>
      <c r="AOJ286" s="208"/>
      <c r="AOK286" s="208"/>
      <c r="AOL286" s="208"/>
      <c r="AOM286" s="208"/>
      <c r="AON286" s="208"/>
      <c r="AOO286" s="208"/>
      <c r="AOP286" s="208"/>
      <c r="AOQ286" s="208"/>
      <c r="AOR286" s="208"/>
      <c r="AOS286" s="208"/>
      <c r="AOT286" s="208"/>
      <c r="AOU286" s="208"/>
      <c r="AOV286" s="208"/>
      <c r="AOW286" s="208"/>
      <c r="AOX286" s="208"/>
      <c r="AOY286" s="208"/>
      <c r="AOZ286" s="208"/>
      <c r="APA286" s="208"/>
      <c r="APB286" s="208"/>
      <c r="APC286" s="208"/>
      <c r="APD286" s="208"/>
      <c r="APE286" s="208"/>
      <c r="APF286" s="208"/>
      <c r="APG286" s="208"/>
      <c r="APH286" s="208"/>
      <c r="API286" s="208"/>
      <c r="APJ286" s="208"/>
      <c r="APK286" s="208"/>
      <c r="APL286" s="208"/>
      <c r="APM286" s="208"/>
      <c r="APN286" s="208"/>
      <c r="APO286" s="208"/>
      <c r="APP286" s="208"/>
      <c r="APQ286" s="208"/>
      <c r="APR286" s="208"/>
      <c r="APS286" s="208"/>
      <c r="APT286" s="208"/>
      <c r="APU286" s="208"/>
      <c r="APV286" s="208"/>
      <c r="APW286" s="208"/>
      <c r="APX286" s="208"/>
      <c r="APY286" s="208"/>
      <c r="APZ286" s="208"/>
      <c r="AQA286" s="208"/>
      <c r="AQB286" s="208"/>
      <c r="AQC286" s="208"/>
      <c r="AQD286" s="208"/>
      <c r="AQE286" s="208"/>
      <c r="AQF286" s="208"/>
      <c r="AQG286" s="208"/>
      <c r="AQH286" s="208"/>
      <c r="AQI286" s="208"/>
      <c r="AQJ286" s="208"/>
      <c r="AQK286" s="208"/>
      <c r="AQL286" s="208"/>
      <c r="AQM286" s="208"/>
      <c r="AQN286" s="208"/>
      <c r="AQO286" s="208"/>
      <c r="AQP286" s="208"/>
      <c r="AQQ286" s="208"/>
      <c r="AQR286" s="208"/>
      <c r="AQS286" s="208"/>
      <c r="AQT286" s="208"/>
      <c r="AQU286" s="208"/>
      <c r="AQV286" s="208"/>
      <c r="AQW286" s="208"/>
      <c r="AQX286" s="208"/>
      <c r="AQY286" s="208"/>
      <c r="AQZ286" s="208"/>
      <c r="ARA286" s="208"/>
      <c r="ARB286" s="208"/>
      <c r="ARC286" s="208"/>
      <c r="ARD286" s="208"/>
      <c r="ARE286" s="208"/>
      <c r="ARF286" s="208"/>
      <c r="ARG286" s="208"/>
      <c r="ARH286" s="208"/>
      <c r="ARI286" s="208"/>
      <c r="ARJ286" s="208"/>
      <c r="ARK286" s="208"/>
      <c r="ARL286" s="208"/>
      <c r="ARM286" s="208"/>
      <c r="ARN286" s="208"/>
      <c r="ARO286" s="208"/>
      <c r="ARP286" s="208"/>
      <c r="ARQ286" s="208"/>
      <c r="ARR286" s="208"/>
      <c r="ARS286" s="208"/>
      <c r="ART286" s="208"/>
      <c r="ARU286" s="208"/>
      <c r="ARV286" s="208"/>
      <c r="ARW286" s="208"/>
      <c r="ARX286" s="208"/>
      <c r="ARY286" s="208"/>
      <c r="ARZ286" s="208"/>
      <c r="ASA286" s="208"/>
      <c r="ASB286" s="208"/>
      <c r="ASC286" s="208"/>
      <c r="ASD286" s="208"/>
      <c r="ASE286" s="208"/>
      <c r="ASF286" s="208"/>
      <c r="ASG286" s="208"/>
      <c r="ASH286" s="208"/>
      <c r="ASI286" s="208"/>
      <c r="ASJ286" s="208"/>
      <c r="ASK286" s="208"/>
      <c r="ASL286" s="208"/>
      <c r="ASM286" s="208"/>
      <c r="ASN286" s="208"/>
      <c r="ASO286" s="208"/>
      <c r="ASP286" s="208"/>
      <c r="ASQ286" s="208"/>
      <c r="ASR286" s="208"/>
      <c r="ASS286" s="208"/>
      <c r="AST286" s="208"/>
      <c r="ASU286" s="208"/>
      <c r="ASV286" s="208"/>
      <c r="ASW286" s="208"/>
      <c r="ASX286" s="208"/>
      <c r="ASY286" s="208"/>
      <c r="ASZ286" s="208"/>
      <c r="ATA286" s="208"/>
      <c r="ATB286" s="208"/>
      <c r="ATC286" s="208"/>
      <c r="ATD286" s="208"/>
      <c r="ATE286" s="208"/>
      <c r="ATF286" s="208"/>
      <c r="ATG286" s="208"/>
      <c r="ATH286" s="208"/>
      <c r="ATI286" s="208"/>
      <c r="ATJ286" s="208"/>
      <c r="ATK286" s="208"/>
      <c r="ATL286" s="208"/>
      <c r="ATM286" s="208"/>
      <c r="ATN286" s="208"/>
      <c r="ATO286" s="208"/>
      <c r="ATP286" s="208"/>
      <c r="ATQ286" s="208"/>
      <c r="ATR286" s="208"/>
      <c r="ATS286" s="208"/>
      <c r="ATT286" s="208"/>
      <c r="ATU286" s="208"/>
      <c r="ATV286" s="208"/>
      <c r="ATW286" s="208"/>
      <c r="ATX286" s="208"/>
      <c r="ATY286" s="208"/>
      <c r="ATZ286" s="208"/>
      <c r="AUA286" s="208"/>
      <c r="AUB286" s="208"/>
      <c r="AUC286" s="208"/>
      <c r="AUD286" s="208"/>
      <c r="AUE286" s="208"/>
      <c r="AUF286" s="208"/>
      <c r="AUG286" s="208"/>
      <c r="AUH286" s="208"/>
      <c r="AUI286" s="208"/>
      <c r="AUJ286" s="208"/>
      <c r="AUK286" s="208"/>
      <c r="AUL286" s="208"/>
      <c r="AUM286" s="208"/>
      <c r="AUN286" s="208"/>
      <c r="AUO286" s="208"/>
      <c r="AUP286" s="208"/>
      <c r="AUQ286" s="208"/>
      <c r="AUR286" s="208"/>
      <c r="AUS286" s="208"/>
      <c r="AUT286" s="208"/>
      <c r="AUU286" s="208"/>
      <c r="AUV286" s="208"/>
      <c r="AUW286" s="208"/>
      <c r="AUX286" s="208"/>
      <c r="AUY286" s="208"/>
      <c r="AUZ286" s="208"/>
      <c r="AVA286" s="208"/>
      <c r="AVB286" s="208"/>
      <c r="AVC286" s="208"/>
      <c r="AVD286" s="208"/>
      <c r="AVE286" s="208"/>
      <c r="AVF286" s="208"/>
      <c r="AVG286" s="208"/>
      <c r="AVH286" s="208"/>
      <c r="AVI286" s="208"/>
      <c r="AVJ286" s="208"/>
      <c r="AVK286" s="208"/>
      <c r="AVL286" s="208"/>
      <c r="AVM286" s="208"/>
      <c r="AVN286" s="208"/>
      <c r="AVO286" s="208"/>
      <c r="AVP286" s="208"/>
      <c r="AVQ286" s="208"/>
      <c r="AVR286" s="208"/>
      <c r="AVS286" s="208"/>
      <c r="AVT286" s="208"/>
      <c r="AVU286" s="208"/>
      <c r="AVV286" s="208"/>
      <c r="AVW286" s="208"/>
      <c r="AVX286" s="208"/>
      <c r="AVY286" s="208"/>
      <c r="AVZ286" s="208"/>
      <c r="AWA286" s="208"/>
      <c r="AWB286" s="208"/>
      <c r="AWC286" s="208"/>
      <c r="AWD286" s="208"/>
      <c r="AWE286" s="208"/>
      <c r="AWF286" s="208"/>
      <c r="AWG286" s="208"/>
      <c r="AWH286" s="208"/>
      <c r="AWI286" s="208"/>
      <c r="AWJ286" s="208"/>
      <c r="AWK286" s="208"/>
      <c r="AWL286" s="208"/>
      <c r="AWM286" s="208"/>
      <c r="AWN286" s="208"/>
      <c r="AWO286" s="208"/>
      <c r="AWP286" s="208"/>
      <c r="AWQ286" s="208"/>
      <c r="AWR286" s="208"/>
      <c r="AWS286" s="208"/>
      <c r="AWT286" s="208"/>
      <c r="AWU286" s="208"/>
      <c r="AWV286" s="208"/>
      <c r="AWW286" s="208"/>
      <c r="AWX286" s="208"/>
      <c r="AWY286" s="208"/>
      <c r="AWZ286" s="208"/>
      <c r="AXA286" s="208"/>
      <c r="AXB286" s="208"/>
      <c r="AXC286" s="208"/>
      <c r="AXD286" s="208"/>
      <c r="AXE286" s="208"/>
      <c r="AXF286" s="208"/>
      <c r="AXG286" s="208"/>
      <c r="AXH286" s="208"/>
      <c r="AXI286" s="208"/>
      <c r="AXJ286" s="208"/>
      <c r="AXK286" s="208"/>
      <c r="AXL286" s="208"/>
      <c r="AXM286" s="208"/>
      <c r="AXN286" s="208"/>
      <c r="AXO286" s="208"/>
      <c r="AXP286" s="208"/>
      <c r="AXQ286" s="208"/>
      <c r="AXR286" s="208"/>
      <c r="AXS286" s="208"/>
      <c r="AXT286" s="208"/>
      <c r="AXU286" s="208"/>
      <c r="AXV286" s="208"/>
      <c r="AXW286" s="208"/>
      <c r="AXX286" s="208"/>
      <c r="AXY286" s="208"/>
      <c r="AXZ286" s="208"/>
      <c r="AYA286" s="208"/>
      <c r="AYB286" s="208"/>
      <c r="AYC286" s="208"/>
      <c r="AYD286" s="208"/>
      <c r="AYE286" s="208"/>
      <c r="AYF286" s="208"/>
      <c r="AYG286" s="208"/>
      <c r="AYH286" s="208"/>
      <c r="AYI286" s="208"/>
      <c r="AYJ286" s="208"/>
      <c r="AYK286" s="208"/>
      <c r="AYL286" s="208"/>
      <c r="AYM286" s="208"/>
      <c r="AYN286" s="208"/>
      <c r="AYO286" s="208"/>
      <c r="AYP286" s="208"/>
      <c r="AYQ286" s="208"/>
      <c r="AYR286" s="208"/>
      <c r="AYS286" s="208"/>
      <c r="AYT286" s="208"/>
      <c r="AYU286" s="208"/>
      <c r="AYV286" s="208"/>
      <c r="AYW286" s="208"/>
      <c r="AYX286" s="208"/>
      <c r="AYY286" s="208"/>
      <c r="AYZ286" s="208"/>
      <c r="AZA286" s="208"/>
      <c r="AZB286" s="208"/>
      <c r="AZC286" s="208"/>
      <c r="AZD286" s="208"/>
      <c r="AZE286" s="208"/>
      <c r="AZF286" s="208"/>
      <c r="AZG286" s="208"/>
      <c r="AZH286" s="208"/>
      <c r="AZI286" s="208"/>
      <c r="AZJ286" s="208"/>
      <c r="AZK286" s="208"/>
      <c r="AZL286" s="208"/>
      <c r="AZM286" s="208"/>
      <c r="AZN286" s="208"/>
      <c r="AZO286" s="208"/>
      <c r="AZP286" s="208"/>
      <c r="AZQ286" s="208"/>
      <c r="AZR286" s="208"/>
      <c r="AZS286" s="208"/>
      <c r="AZT286" s="208"/>
      <c r="AZU286" s="208"/>
      <c r="AZV286" s="208"/>
      <c r="AZW286" s="208"/>
      <c r="AZX286" s="208"/>
      <c r="AZY286" s="208"/>
      <c r="AZZ286" s="208"/>
      <c r="BAA286" s="208"/>
      <c r="BAB286" s="208"/>
      <c r="BAC286" s="208"/>
      <c r="BAD286" s="208"/>
      <c r="BAE286" s="208"/>
      <c r="BAF286" s="208"/>
      <c r="BAG286" s="208"/>
      <c r="BAH286" s="208"/>
      <c r="BAI286" s="208"/>
      <c r="BAJ286" s="208"/>
      <c r="BAK286" s="208"/>
      <c r="BAL286" s="208"/>
      <c r="BAM286" s="208"/>
      <c r="BAN286" s="208"/>
      <c r="BAO286" s="208"/>
      <c r="BAP286" s="208"/>
      <c r="BAQ286" s="208"/>
      <c r="BAR286" s="208"/>
      <c r="BAS286" s="208"/>
      <c r="BAT286" s="208"/>
      <c r="BAU286" s="208"/>
      <c r="BAV286" s="208"/>
      <c r="BAW286" s="208"/>
      <c r="BAX286" s="208"/>
      <c r="BAY286" s="208"/>
      <c r="BAZ286" s="208"/>
      <c r="BBA286" s="208"/>
      <c r="BBB286" s="208"/>
      <c r="BBC286" s="208"/>
      <c r="BBD286" s="208"/>
      <c r="BBE286" s="208"/>
      <c r="BBF286" s="208"/>
      <c r="BBG286" s="208"/>
      <c r="BBH286" s="208"/>
      <c r="BBI286" s="208"/>
      <c r="BBJ286" s="208"/>
      <c r="BBK286" s="208"/>
      <c r="BBL286" s="208"/>
      <c r="BBM286" s="208"/>
      <c r="BBN286" s="208"/>
      <c r="BBO286" s="208"/>
      <c r="BBP286" s="208"/>
      <c r="BBQ286" s="208"/>
      <c r="BBR286" s="208"/>
      <c r="BBS286" s="208"/>
      <c r="BBT286" s="208"/>
      <c r="BBU286" s="208"/>
      <c r="BBV286" s="208"/>
      <c r="BBW286" s="208"/>
      <c r="BBX286" s="208"/>
      <c r="BBY286" s="208"/>
      <c r="BBZ286" s="208"/>
      <c r="BCA286" s="208"/>
      <c r="BCB286" s="208"/>
      <c r="BCC286" s="208"/>
      <c r="BCD286" s="208"/>
      <c r="BCE286" s="208"/>
      <c r="BCF286" s="208"/>
      <c r="BCG286" s="208"/>
      <c r="BCH286" s="208"/>
      <c r="BCI286" s="208"/>
      <c r="BCJ286" s="208"/>
      <c r="BCK286" s="208"/>
      <c r="BCL286" s="208"/>
      <c r="BCM286" s="208"/>
      <c r="BCN286" s="208"/>
      <c r="BCO286" s="208"/>
      <c r="BCP286" s="208"/>
      <c r="BCQ286" s="208"/>
      <c r="BCR286" s="208"/>
      <c r="BCS286" s="208"/>
      <c r="BCT286" s="208"/>
      <c r="BCU286" s="208"/>
      <c r="BCV286" s="208"/>
      <c r="BCW286" s="208"/>
      <c r="BCX286" s="208"/>
      <c r="BCY286" s="208"/>
      <c r="BCZ286" s="208"/>
      <c r="BDA286" s="208"/>
      <c r="BDB286" s="208"/>
      <c r="BDC286" s="208"/>
      <c r="BDD286" s="208"/>
      <c r="BDE286" s="208"/>
      <c r="BDF286" s="208"/>
      <c r="BDG286" s="208"/>
      <c r="BDH286" s="208"/>
      <c r="BDI286" s="208"/>
      <c r="BDJ286" s="208"/>
      <c r="BDK286" s="208"/>
      <c r="BDL286" s="208"/>
      <c r="BDM286" s="208"/>
      <c r="BDN286" s="208"/>
      <c r="BDO286" s="208"/>
      <c r="BDP286" s="208"/>
      <c r="BDQ286" s="208"/>
      <c r="BDR286" s="208"/>
      <c r="BDS286" s="208"/>
      <c r="BDT286" s="208"/>
      <c r="BDU286" s="208"/>
      <c r="BDV286" s="208"/>
      <c r="BDW286" s="208"/>
      <c r="BDX286" s="208"/>
      <c r="BDY286" s="208"/>
      <c r="BDZ286" s="208"/>
      <c r="BEA286" s="208"/>
      <c r="BEB286" s="208"/>
      <c r="BEC286" s="208"/>
      <c r="BED286" s="208"/>
      <c r="BEE286" s="208"/>
      <c r="BEF286" s="208"/>
      <c r="BEG286" s="208"/>
      <c r="BEH286" s="208"/>
      <c r="BEI286" s="208"/>
      <c r="BEJ286" s="208"/>
      <c r="BEK286" s="208"/>
      <c r="BEL286" s="208"/>
      <c r="BEM286" s="208"/>
      <c r="BEN286" s="208"/>
      <c r="BEO286" s="208"/>
      <c r="BEP286" s="208"/>
      <c r="BEQ286" s="208"/>
      <c r="BER286" s="208"/>
      <c r="BES286" s="208"/>
      <c r="BET286" s="208"/>
      <c r="BEU286" s="208"/>
      <c r="BEV286" s="208"/>
      <c r="BEW286" s="208"/>
      <c r="BEX286" s="208"/>
      <c r="BEY286" s="208"/>
      <c r="BEZ286" s="208"/>
      <c r="BFA286" s="208"/>
      <c r="BFB286" s="208"/>
      <c r="BFC286" s="208"/>
      <c r="BFD286" s="208"/>
      <c r="BFE286" s="208"/>
      <c r="BFF286" s="208"/>
      <c r="BFG286" s="208"/>
      <c r="BFH286" s="208"/>
      <c r="BFI286" s="208"/>
      <c r="BFJ286" s="208"/>
      <c r="BFK286" s="208"/>
      <c r="BFL286" s="208"/>
      <c r="BFM286" s="208"/>
      <c r="BFN286" s="208"/>
      <c r="BFO286" s="208"/>
      <c r="BFP286" s="208"/>
      <c r="BFQ286" s="208"/>
      <c r="BFR286" s="208"/>
      <c r="BFS286" s="208"/>
      <c r="BFT286" s="208"/>
      <c r="BFU286" s="208"/>
      <c r="BFV286" s="208"/>
      <c r="BFW286" s="208"/>
      <c r="BFX286" s="208"/>
      <c r="BFY286" s="208"/>
      <c r="BFZ286" s="208"/>
      <c r="BGA286" s="208"/>
      <c r="BGB286" s="208"/>
      <c r="BGC286" s="208"/>
      <c r="BGD286" s="208"/>
      <c r="BGE286" s="208"/>
      <c r="BGF286" s="208"/>
      <c r="BGG286" s="208"/>
      <c r="BGH286" s="208"/>
      <c r="BGI286" s="208"/>
      <c r="BGJ286" s="208"/>
      <c r="BGK286" s="208"/>
      <c r="BGL286" s="208"/>
      <c r="BGM286" s="208"/>
      <c r="BGN286" s="208"/>
      <c r="BGO286" s="208"/>
      <c r="BGP286" s="208"/>
      <c r="BGQ286" s="208"/>
      <c r="BGR286" s="208"/>
      <c r="BGS286" s="208"/>
      <c r="BGT286" s="208"/>
      <c r="BGU286" s="208"/>
      <c r="BGV286" s="208"/>
      <c r="BGW286" s="208"/>
      <c r="BGX286" s="208"/>
      <c r="BGY286" s="208"/>
      <c r="BGZ286" s="208"/>
      <c r="BHA286" s="208"/>
      <c r="BHB286" s="208"/>
      <c r="BHC286" s="208"/>
      <c r="BHD286" s="208"/>
      <c r="BHE286" s="208"/>
      <c r="BHF286" s="208"/>
      <c r="BHG286" s="208"/>
      <c r="BHH286" s="208"/>
      <c r="BHI286" s="208"/>
      <c r="BHJ286" s="208"/>
      <c r="BHK286" s="208"/>
      <c r="BHL286" s="208"/>
      <c r="BHM286" s="208"/>
      <c r="BHN286" s="208"/>
      <c r="BHO286" s="208"/>
      <c r="BHP286" s="208"/>
      <c r="BHQ286" s="208"/>
      <c r="BHR286" s="208"/>
      <c r="BHS286" s="208"/>
      <c r="BHT286" s="208"/>
      <c r="BHU286" s="208"/>
      <c r="BHV286" s="208"/>
      <c r="BHW286" s="208"/>
      <c r="BHX286" s="208"/>
      <c r="BHY286" s="208"/>
      <c r="BHZ286" s="208"/>
      <c r="BIA286" s="208"/>
      <c r="BIB286" s="208"/>
      <c r="BIC286" s="208"/>
      <c r="BID286" s="208"/>
      <c r="BIE286" s="208"/>
      <c r="BIF286" s="208"/>
      <c r="BIG286" s="208"/>
      <c r="BIH286" s="208"/>
      <c r="BII286" s="208"/>
      <c r="BIJ286" s="208"/>
      <c r="BIK286" s="208"/>
      <c r="BIL286" s="208"/>
      <c r="BIM286" s="208"/>
      <c r="BIN286" s="208"/>
      <c r="BIO286" s="208"/>
      <c r="BIP286" s="208"/>
      <c r="BIQ286" s="208"/>
      <c r="BIR286" s="208"/>
      <c r="BIS286" s="208"/>
      <c r="BIT286" s="208"/>
      <c r="BIU286" s="208"/>
      <c r="BIV286" s="208"/>
      <c r="BIW286" s="208"/>
      <c r="BIX286" s="208"/>
      <c r="BIY286" s="208"/>
      <c r="BIZ286" s="208"/>
      <c r="BJA286" s="208"/>
      <c r="BJB286" s="208"/>
      <c r="BJC286" s="208"/>
      <c r="BJD286" s="208"/>
      <c r="BJE286" s="208"/>
      <c r="BJF286" s="208"/>
      <c r="BJG286" s="208"/>
      <c r="BJH286" s="208"/>
      <c r="BJI286" s="208"/>
      <c r="BJJ286" s="208"/>
      <c r="BJK286" s="208"/>
      <c r="BJL286" s="208"/>
      <c r="BJM286" s="208"/>
      <c r="BJN286" s="208"/>
      <c r="BJO286" s="208"/>
      <c r="BJP286" s="208"/>
      <c r="BJQ286" s="208"/>
      <c r="BJR286" s="208"/>
      <c r="BJS286" s="208"/>
      <c r="BJT286" s="208"/>
      <c r="BJU286" s="208"/>
      <c r="BJV286" s="208"/>
      <c r="BJW286" s="208"/>
      <c r="BJX286" s="208"/>
      <c r="BJY286" s="208"/>
      <c r="BJZ286" s="208"/>
      <c r="BKA286" s="208"/>
      <c r="BKB286" s="208"/>
      <c r="BKC286" s="208"/>
      <c r="BKD286" s="208"/>
      <c r="BKE286" s="208"/>
      <c r="BKF286" s="208"/>
      <c r="BKG286" s="208"/>
      <c r="BKH286" s="208"/>
      <c r="BKI286" s="208"/>
      <c r="BKJ286" s="208"/>
      <c r="BKK286" s="208"/>
      <c r="BKL286" s="208"/>
      <c r="BKM286" s="208"/>
      <c r="BKN286" s="208"/>
      <c r="BKO286" s="208"/>
      <c r="BKP286" s="208"/>
      <c r="BKQ286" s="208"/>
      <c r="BKR286" s="208"/>
      <c r="BKS286" s="208"/>
      <c r="BKT286" s="208"/>
      <c r="BKU286" s="208"/>
      <c r="BKV286" s="208"/>
      <c r="BKW286" s="208"/>
      <c r="BKX286" s="208"/>
      <c r="BKY286" s="208"/>
      <c r="BKZ286" s="208"/>
      <c r="BLA286" s="208"/>
      <c r="BLB286" s="208"/>
      <c r="BLC286" s="208"/>
      <c r="BLD286" s="208"/>
      <c r="BLE286" s="208"/>
      <c r="BLF286" s="208"/>
      <c r="BLG286" s="208"/>
      <c r="BLH286" s="208"/>
      <c r="BLI286" s="208"/>
      <c r="BLJ286" s="208"/>
      <c r="BLK286" s="208"/>
      <c r="BLL286" s="208"/>
      <c r="BLM286" s="208"/>
      <c r="BLN286" s="208"/>
      <c r="BLO286" s="208"/>
      <c r="BLP286" s="208"/>
      <c r="BLQ286" s="208"/>
      <c r="BLR286" s="208"/>
      <c r="BLS286" s="208"/>
      <c r="BLT286" s="208"/>
      <c r="BLU286" s="208"/>
      <c r="BLV286" s="208"/>
      <c r="BLW286" s="208"/>
      <c r="BLX286" s="208"/>
      <c r="BLY286" s="208"/>
      <c r="BLZ286" s="208"/>
      <c r="BMA286" s="208"/>
      <c r="BMB286" s="208"/>
      <c r="BMC286" s="208"/>
      <c r="BMD286" s="208"/>
      <c r="BME286" s="208"/>
      <c r="BMF286" s="208"/>
      <c r="BMG286" s="208"/>
      <c r="BMH286" s="208"/>
      <c r="BMI286" s="208"/>
      <c r="BMJ286" s="208"/>
      <c r="BMK286" s="208"/>
      <c r="BML286" s="208"/>
      <c r="BMM286" s="208"/>
      <c r="BMN286" s="208"/>
      <c r="BMO286" s="208"/>
      <c r="BMP286" s="208"/>
      <c r="BMQ286" s="208"/>
      <c r="BMR286" s="208"/>
      <c r="BMS286" s="208"/>
      <c r="BMT286" s="208"/>
      <c r="BMU286" s="208"/>
      <c r="BMV286" s="208"/>
      <c r="BMW286" s="208"/>
      <c r="BMX286" s="208"/>
      <c r="BMY286" s="208"/>
      <c r="BMZ286" s="208"/>
      <c r="BNA286" s="208"/>
      <c r="BNB286" s="208"/>
      <c r="BNC286" s="208"/>
      <c r="BND286" s="208"/>
      <c r="BNE286" s="208"/>
      <c r="BNF286" s="208"/>
      <c r="BNG286" s="208"/>
      <c r="BNH286" s="208"/>
      <c r="BNI286" s="208"/>
      <c r="BNJ286" s="208"/>
      <c r="BNK286" s="208"/>
      <c r="BNL286" s="208"/>
      <c r="BNM286" s="208"/>
      <c r="BNN286" s="208"/>
      <c r="BNO286" s="208"/>
      <c r="BNP286" s="208"/>
      <c r="BNQ286" s="208"/>
      <c r="BNR286" s="208"/>
      <c r="BNS286" s="208"/>
      <c r="BNT286" s="208"/>
      <c r="BNU286" s="208"/>
      <c r="BNV286" s="208"/>
      <c r="BNW286" s="208"/>
      <c r="BNX286" s="208"/>
      <c r="BNY286" s="208"/>
      <c r="BNZ286" s="208"/>
      <c r="BOA286" s="208"/>
      <c r="BOB286" s="208"/>
      <c r="BOC286" s="208"/>
      <c r="BOD286" s="208"/>
      <c r="BOE286" s="208"/>
      <c r="BOF286" s="208"/>
      <c r="BOG286" s="208"/>
      <c r="BOH286" s="208"/>
      <c r="BOI286" s="208"/>
      <c r="BOJ286" s="208"/>
      <c r="BOK286" s="208"/>
      <c r="BOL286" s="208"/>
      <c r="BOM286" s="208"/>
      <c r="BON286" s="208"/>
      <c r="BOO286" s="208"/>
      <c r="BOP286" s="208"/>
      <c r="BOQ286" s="208"/>
      <c r="BOR286" s="208"/>
      <c r="BOS286" s="208"/>
      <c r="BOT286" s="208"/>
      <c r="BOU286" s="208"/>
      <c r="BOV286" s="208"/>
      <c r="BOW286" s="208"/>
      <c r="BOX286" s="208"/>
      <c r="BOY286" s="208"/>
      <c r="BOZ286" s="208"/>
      <c r="BPA286" s="208"/>
      <c r="BPB286" s="208"/>
      <c r="BPC286" s="208"/>
      <c r="BPD286" s="208"/>
      <c r="BPE286" s="208"/>
      <c r="BPF286" s="208"/>
      <c r="BPG286" s="208"/>
      <c r="BPH286" s="208"/>
      <c r="BPI286" s="208"/>
      <c r="BPJ286" s="208"/>
      <c r="BPK286" s="208"/>
      <c r="BPL286" s="208"/>
      <c r="BPM286" s="208"/>
      <c r="BPN286" s="208"/>
      <c r="BPO286" s="208"/>
      <c r="BPP286" s="208"/>
      <c r="BPQ286" s="208"/>
      <c r="BPR286" s="208"/>
      <c r="BPS286" s="208"/>
      <c r="BPT286" s="208"/>
      <c r="BPU286" s="208"/>
      <c r="BPV286" s="208"/>
      <c r="BPW286" s="208"/>
      <c r="BPX286" s="208"/>
      <c r="BPY286" s="208"/>
      <c r="BPZ286" s="208"/>
      <c r="BQA286" s="208"/>
      <c r="BQB286" s="208"/>
      <c r="BQC286" s="208"/>
      <c r="BQD286" s="208"/>
      <c r="BQE286" s="208"/>
      <c r="BQF286" s="208"/>
      <c r="BQG286" s="208"/>
      <c r="BQH286" s="208"/>
      <c r="BQI286" s="208"/>
      <c r="BQJ286" s="208"/>
      <c r="BQK286" s="208"/>
      <c r="BQL286" s="208"/>
      <c r="BQM286" s="208"/>
      <c r="BQN286" s="208"/>
      <c r="BQO286" s="208"/>
      <c r="BQP286" s="208"/>
      <c r="BQQ286" s="208"/>
      <c r="BQR286" s="208"/>
      <c r="BQS286" s="208"/>
      <c r="BQT286" s="208"/>
      <c r="BQU286" s="208"/>
      <c r="BQV286" s="208"/>
      <c r="BQW286" s="208"/>
      <c r="BQX286" s="208"/>
      <c r="BQY286" s="208"/>
      <c r="BQZ286" s="208"/>
      <c r="BRA286" s="208"/>
      <c r="BRB286" s="208"/>
      <c r="BRC286" s="208"/>
      <c r="BRD286" s="208"/>
      <c r="BRE286" s="208"/>
      <c r="BRF286" s="208"/>
      <c r="BRG286" s="208"/>
      <c r="BRH286" s="208"/>
      <c r="BRI286" s="208"/>
      <c r="BRJ286" s="208"/>
      <c r="BRK286" s="208"/>
      <c r="BRL286" s="208"/>
      <c r="BRM286" s="208"/>
      <c r="BRN286" s="208"/>
      <c r="BRO286" s="208"/>
      <c r="BRP286" s="208"/>
      <c r="BRQ286" s="208"/>
      <c r="BRR286" s="208"/>
      <c r="BRS286" s="208"/>
      <c r="BRT286" s="208"/>
      <c r="BRU286" s="208"/>
      <c r="BRV286" s="208"/>
      <c r="BRW286" s="208"/>
      <c r="BRX286" s="208"/>
      <c r="BRY286" s="208"/>
      <c r="BRZ286" s="208"/>
      <c r="BSA286" s="208"/>
      <c r="BSB286" s="208"/>
      <c r="BSC286" s="208"/>
      <c r="BSD286" s="208"/>
      <c r="BSE286" s="208"/>
      <c r="BSF286" s="208"/>
      <c r="BSG286" s="208"/>
      <c r="BSH286" s="208"/>
      <c r="BSI286" s="208"/>
      <c r="BSJ286" s="208"/>
      <c r="BSK286" s="208"/>
      <c r="BSL286" s="208"/>
      <c r="BSM286" s="208"/>
      <c r="BSN286" s="208"/>
      <c r="BSO286" s="208"/>
      <c r="BSP286" s="208"/>
      <c r="BSQ286" s="208"/>
      <c r="BSR286" s="208"/>
      <c r="BSS286" s="208"/>
      <c r="BST286" s="208"/>
      <c r="BSU286" s="208"/>
      <c r="BSV286" s="208"/>
      <c r="BSW286" s="208"/>
      <c r="BSX286" s="208"/>
      <c r="BSY286" s="208"/>
      <c r="BSZ286" s="208"/>
      <c r="BTA286" s="208"/>
      <c r="BTB286" s="208"/>
      <c r="BTC286" s="208"/>
      <c r="BTD286" s="208"/>
      <c r="BTE286" s="208"/>
      <c r="BTF286" s="208"/>
      <c r="BTG286" s="208"/>
      <c r="BTH286" s="208"/>
      <c r="BTI286" s="208"/>
      <c r="BTJ286" s="208"/>
      <c r="BTK286" s="208"/>
      <c r="BTL286" s="208"/>
      <c r="BTM286" s="208"/>
      <c r="BTN286" s="208"/>
      <c r="BTO286" s="208"/>
      <c r="BTP286" s="208"/>
      <c r="BTQ286" s="208"/>
      <c r="BTR286" s="208"/>
      <c r="BTS286" s="208"/>
      <c r="BTT286" s="208"/>
      <c r="BTU286" s="208"/>
      <c r="BTV286" s="208"/>
      <c r="BTW286" s="208"/>
      <c r="BTX286" s="208"/>
      <c r="BTY286" s="208"/>
      <c r="BTZ286" s="208"/>
      <c r="BUA286" s="208"/>
      <c r="BUB286" s="208"/>
      <c r="BUC286" s="208"/>
      <c r="BUD286" s="208"/>
      <c r="BUE286" s="208"/>
      <c r="BUF286" s="208"/>
      <c r="BUG286" s="208"/>
      <c r="BUH286" s="208"/>
      <c r="BUI286" s="208"/>
      <c r="BUJ286" s="208"/>
      <c r="BUK286" s="208"/>
      <c r="BUL286" s="208"/>
      <c r="BUM286" s="208"/>
      <c r="BUN286" s="208"/>
      <c r="BUO286" s="208"/>
      <c r="BUP286" s="208"/>
      <c r="BUQ286" s="208"/>
      <c r="BUR286" s="208"/>
      <c r="BUS286" s="208"/>
      <c r="BUT286" s="208"/>
      <c r="BUU286" s="208"/>
      <c r="BUV286" s="208"/>
      <c r="BUW286" s="208"/>
      <c r="BUX286" s="208"/>
      <c r="BUY286" s="208"/>
      <c r="BUZ286" s="208"/>
      <c r="BVA286" s="208"/>
      <c r="BVB286" s="208"/>
      <c r="BVC286" s="208"/>
      <c r="BVD286" s="208"/>
      <c r="BVE286" s="208"/>
      <c r="BVF286" s="208"/>
      <c r="BVG286" s="208"/>
      <c r="BVH286" s="208"/>
      <c r="BVI286" s="208"/>
      <c r="BVJ286" s="208"/>
      <c r="BVK286" s="208"/>
      <c r="BVL286" s="208"/>
      <c r="BVM286" s="208"/>
      <c r="BVN286" s="208"/>
      <c r="BVO286" s="208"/>
      <c r="BVP286" s="208"/>
      <c r="BVQ286" s="208"/>
      <c r="BVR286" s="208"/>
      <c r="BVS286" s="208"/>
      <c r="BVT286" s="208"/>
      <c r="BVU286" s="208"/>
      <c r="BVV286" s="208"/>
      <c r="BVW286" s="208"/>
      <c r="BVX286" s="208"/>
      <c r="BVY286" s="208"/>
      <c r="BVZ286" s="208"/>
      <c r="BWA286" s="208"/>
      <c r="BWB286" s="208"/>
      <c r="BWC286" s="208"/>
      <c r="BWD286" s="208"/>
      <c r="BWE286" s="208"/>
      <c r="BWF286" s="208"/>
      <c r="BWG286" s="208"/>
      <c r="BWH286" s="208"/>
      <c r="BWI286" s="208"/>
      <c r="BWJ286" s="208"/>
      <c r="BWK286" s="208"/>
      <c r="BWL286" s="208"/>
      <c r="BWM286" s="208"/>
      <c r="BWN286" s="208"/>
      <c r="BWO286" s="208"/>
      <c r="BWP286" s="208"/>
      <c r="BWQ286" s="208"/>
      <c r="BWR286" s="208"/>
      <c r="BWS286" s="208"/>
      <c r="BWT286" s="208"/>
      <c r="BWU286" s="208"/>
      <c r="BWV286" s="208"/>
      <c r="BWW286" s="208"/>
      <c r="BWX286" s="208"/>
      <c r="BWY286" s="208"/>
      <c r="BWZ286" s="208"/>
      <c r="BXA286" s="208"/>
      <c r="BXB286" s="208"/>
      <c r="BXC286" s="208"/>
      <c r="BXD286" s="208"/>
      <c r="BXE286" s="208"/>
      <c r="BXF286" s="208"/>
      <c r="BXG286" s="208"/>
      <c r="BXH286" s="208"/>
      <c r="BXI286" s="208"/>
      <c r="BXJ286" s="208"/>
      <c r="BXK286" s="208"/>
      <c r="BXL286" s="208"/>
      <c r="BXM286" s="208"/>
      <c r="BXN286" s="208"/>
      <c r="BXO286" s="208"/>
      <c r="BXP286" s="208"/>
      <c r="BXQ286" s="208"/>
      <c r="BXR286" s="208"/>
      <c r="BXS286" s="208"/>
      <c r="BXT286" s="208"/>
      <c r="BXU286" s="208"/>
      <c r="BXV286" s="208"/>
      <c r="BXW286" s="208"/>
      <c r="BXX286" s="208"/>
      <c r="BXY286" s="208"/>
      <c r="BXZ286" s="208"/>
      <c r="BYA286" s="208"/>
      <c r="BYB286" s="208"/>
      <c r="BYC286" s="208"/>
      <c r="BYD286" s="208"/>
      <c r="BYE286" s="208"/>
      <c r="BYF286" s="208"/>
      <c r="BYG286" s="208"/>
      <c r="BYH286" s="208"/>
      <c r="BYI286" s="208"/>
      <c r="BYJ286" s="208"/>
      <c r="BYK286" s="208"/>
      <c r="BYL286" s="208"/>
      <c r="BYM286" s="208"/>
      <c r="BYN286" s="208"/>
      <c r="BYO286" s="208"/>
      <c r="BYP286" s="208"/>
      <c r="BYQ286" s="208"/>
      <c r="BYR286" s="208"/>
      <c r="BYS286" s="208"/>
      <c r="BYT286" s="208"/>
      <c r="BYU286" s="208"/>
      <c r="BYV286" s="208"/>
      <c r="BYW286" s="208"/>
      <c r="BYX286" s="208"/>
      <c r="BYY286" s="208"/>
      <c r="BYZ286" s="208"/>
      <c r="BZA286" s="208"/>
      <c r="BZB286" s="208"/>
      <c r="BZC286" s="208"/>
      <c r="BZD286" s="208"/>
      <c r="BZE286" s="208"/>
      <c r="BZF286" s="208"/>
      <c r="BZG286" s="208"/>
      <c r="BZH286" s="208"/>
      <c r="BZI286" s="208"/>
      <c r="BZJ286" s="208"/>
      <c r="BZK286" s="208"/>
      <c r="BZL286" s="208"/>
      <c r="BZM286" s="208"/>
      <c r="BZN286" s="208"/>
      <c r="BZO286" s="208"/>
      <c r="BZP286" s="208"/>
      <c r="BZQ286" s="208"/>
      <c r="BZR286" s="208"/>
      <c r="BZS286" s="208"/>
      <c r="BZT286" s="208"/>
      <c r="BZU286" s="208"/>
      <c r="BZV286" s="208"/>
      <c r="BZW286" s="208"/>
      <c r="BZX286" s="208"/>
      <c r="BZY286" s="208"/>
      <c r="BZZ286" s="208"/>
      <c r="CAA286" s="208"/>
      <c r="CAB286" s="208"/>
      <c r="CAC286" s="208"/>
      <c r="CAD286" s="208"/>
      <c r="CAE286" s="208"/>
      <c r="CAF286" s="208"/>
      <c r="CAG286" s="208"/>
      <c r="CAH286" s="208"/>
      <c r="CAI286" s="208"/>
      <c r="CAJ286" s="208"/>
      <c r="CAK286" s="208"/>
      <c r="CAL286" s="208"/>
      <c r="CAM286" s="208"/>
      <c r="CAN286" s="208"/>
      <c r="CAO286" s="208"/>
      <c r="CAP286" s="208"/>
      <c r="CAQ286" s="208"/>
      <c r="CAR286" s="208"/>
      <c r="CAS286" s="208"/>
      <c r="CAT286" s="208"/>
      <c r="CAU286" s="208"/>
      <c r="CAV286" s="208"/>
      <c r="CAW286" s="208"/>
      <c r="CAX286" s="208"/>
      <c r="CAY286" s="208"/>
      <c r="CAZ286" s="208"/>
      <c r="CBA286" s="208"/>
      <c r="CBB286" s="208"/>
      <c r="CBC286" s="208"/>
      <c r="CBD286" s="208"/>
      <c r="CBE286" s="208"/>
      <c r="CBF286" s="208"/>
      <c r="CBG286" s="208"/>
      <c r="CBH286" s="208"/>
      <c r="CBI286" s="208"/>
      <c r="CBJ286" s="208"/>
      <c r="CBK286" s="208"/>
      <c r="CBL286" s="208"/>
      <c r="CBM286" s="208"/>
      <c r="CBN286" s="208"/>
      <c r="CBO286" s="208"/>
      <c r="CBP286" s="208"/>
      <c r="CBQ286" s="208"/>
      <c r="CBR286" s="208"/>
      <c r="CBS286" s="208"/>
      <c r="CBT286" s="208"/>
      <c r="CBU286" s="208"/>
      <c r="CBV286" s="208"/>
      <c r="CBW286" s="208"/>
      <c r="CBX286" s="208"/>
      <c r="CBY286" s="208"/>
      <c r="CBZ286" s="208"/>
      <c r="CCA286" s="208"/>
      <c r="CCB286" s="208"/>
      <c r="CCC286" s="208"/>
      <c r="CCD286" s="208"/>
      <c r="CCE286" s="208"/>
      <c r="CCF286" s="208"/>
      <c r="CCG286" s="208"/>
      <c r="CCH286" s="208"/>
      <c r="CCI286" s="208"/>
      <c r="CCJ286" s="208"/>
      <c r="CCK286" s="208"/>
      <c r="CCL286" s="208"/>
      <c r="CCM286" s="208"/>
      <c r="CCN286" s="208"/>
      <c r="CCO286" s="208"/>
      <c r="CCP286" s="208"/>
      <c r="CCQ286" s="208"/>
      <c r="CCR286" s="208"/>
      <c r="CCS286" s="208"/>
      <c r="CCT286" s="208"/>
      <c r="CCU286" s="208"/>
      <c r="CCV286" s="208"/>
      <c r="CCW286" s="208"/>
      <c r="CCX286" s="208"/>
      <c r="CCY286" s="208"/>
      <c r="CCZ286" s="208"/>
      <c r="CDA286" s="208"/>
      <c r="CDB286" s="208"/>
      <c r="CDC286" s="208"/>
      <c r="CDD286" s="208"/>
      <c r="CDE286" s="208"/>
      <c r="CDF286" s="208"/>
      <c r="CDG286" s="208"/>
      <c r="CDH286" s="208"/>
      <c r="CDI286" s="208"/>
      <c r="CDJ286" s="208"/>
      <c r="CDK286" s="208"/>
      <c r="CDL286" s="208"/>
      <c r="CDM286" s="208"/>
      <c r="CDN286" s="208"/>
      <c r="CDO286" s="208"/>
      <c r="CDP286" s="208"/>
      <c r="CDQ286" s="208"/>
      <c r="CDR286" s="208"/>
      <c r="CDS286" s="208"/>
      <c r="CDT286" s="208"/>
      <c r="CDU286" s="208"/>
      <c r="CDV286" s="208"/>
      <c r="CDW286" s="208"/>
      <c r="CDX286" s="208"/>
      <c r="CDY286" s="208"/>
      <c r="CDZ286" s="208"/>
      <c r="CEA286" s="208"/>
      <c r="CEB286" s="208"/>
      <c r="CEC286" s="208"/>
      <c r="CED286" s="208"/>
      <c r="CEE286" s="208"/>
      <c r="CEF286" s="208"/>
      <c r="CEG286" s="208"/>
      <c r="CEH286" s="208"/>
      <c r="CEI286" s="208"/>
      <c r="CEJ286" s="208"/>
      <c r="CEK286" s="208"/>
      <c r="CEL286" s="208"/>
      <c r="CEM286" s="208"/>
      <c r="CEN286" s="208"/>
      <c r="CEO286" s="208"/>
      <c r="CEP286" s="208"/>
      <c r="CEQ286" s="208"/>
      <c r="CER286" s="208"/>
      <c r="CES286" s="208"/>
      <c r="CET286" s="208"/>
      <c r="CEU286" s="208"/>
      <c r="CEV286" s="208"/>
      <c r="CEW286" s="208"/>
      <c r="CEX286" s="208"/>
      <c r="CEY286" s="208"/>
      <c r="CEZ286" s="208"/>
      <c r="CFA286" s="208"/>
      <c r="CFB286" s="208"/>
      <c r="CFC286" s="208"/>
      <c r="CFD286" s="208"/>
      <c r="CFE286" s="208"/>
      <c r="CFF286" s="208"/>
      <c r="CFG286" s="208"/>
      <c r="CFH286" s="208"/>
      <c r="CFI286" s="208"/>
      <c r="CFJ286" s="208"/>
      <c r="CFK286" s="208"/>
      <c r="CFL286" s="208"/>
      <c r="CFM286" s="208"/>
      <c r="CFN286" s="208"/>
      <c r="CFO286" s="208"/>
      <c r="CFP286" s="208"/>
      <c r="CFQ286" s="208"/>
      <c r="CFR286" s="208"/>
      <c r="CFS286" s="208"/>
      <c r="CFT286" s="208"/>
      <c r="CFU286" s="208"/>
      <c r="CFV286" s="208"/>
      <c r="CFW286" s="208"/>
      <c r="CFX286" s="208"/>
      <c r="CFY286" s="208"/>
      <c r="CFZ286" s="208"/>
      <c r="CGA286" s="208"/>
      <c r="CGB286" s="208"/>
      <c r="CGC286" s="208"/>
      <c r="CGD286" s="208"/>
      <c r="CGE286" s="208"/>
      <c r="CGF286" s="208"/>
      <c r="CGG286" s="208"/>
      <c r="CGH286" s="208"/>
      <c r="CGI286" s="208"/>
      <c r="CGJ286" s="208"/>
      <c r="CGK286" s="208"/>
      <c r="CGL286" s="208"/>
      <c r="CGM286" s="208"/>
      <c r="CGN286" s="208"/>
      <c r="CGO286" s="208"/>
      <c r="CGP286" s="208"/>
      <c r="CGQ286" s="208"/>
      <c r="CGR286" s="208"/>
      <c r="CGS286" s="208"/>
      <c r="CGT286" s="208"/>
      <c r="CGU286" s="208"/>
      <c r="CGV286" s="208"/>
      <c r="CGW286" s="208"/>
      <c r="CGX286" s="208"/>
      <c r="CGY286" s="208"/>
      <c r="CGZ286" s="208"/>
      <c r="CHA286" s="208"/>
      <c r="CHB286" s="208"/>
      <c r="CHC286" s="208"/>
      <c r="CHD286" s="208"/>
      <c r="CHE286" s="208"/>
      <c r="CHF286" s="208"/>
      <c r="CHG286" s="208"/>
      <c r="CHH286" s="208"/>
      <c r="CHI286" s="208"/>
      <c r="CHJ286" s="208"/>
      <c r="CHK286" s="208"/>
      <c r="CHL286" s="208"/>
      <c r="CHM286" s="208"/>
      <c r="CHN286" s="208"/>
      <c r="CHO286" s="208"/>
      <c r="CHP286" s="208"/>
      <c r="CHQ286" s="208"/>
      <c r="CHR286" s="208"/>
      <c r="CHS286" s="208"/>
      <c r="CHT286" s="208"/>
      <c r="CHU286" s="208"/>
      <c r="CHV286" s="208"/>
      <c r="CHW286" s="208"/>
      <c r="CHX286" s="208"/>
      <c r="CHY286" s="208"/>
      <c r="CHZ286" s="208"/>
      <c r="CIA286" s="208"/>
      <c r="CIB286" s="208"/>
      <c r="CIC286" s="208"/>
      <c r="CID286" s="208"/>
      <c r="CIE286" s="208"/>
      <c r="CIF286" s="208"/>
      <c r="CIG286" s="208"/>
      <c r="CIH286" s="208"/>
      <c r="CII286" s="208"/>
      <c r="CIJ286" s="208"/>
      <c r="CIK286" s="208"/>
      <c r="CIL286" s="208"/>
      <c r="CIM286" s="208"/>
      <c r="CIN286" s="208"/>
      <c r="CIO286" s="208"/>
      <c r="CIP286" s="208"/>
      <c r="CIQ286" s="208"/>
      <c r="CIR286" s="208"/>
      <c r="CIS286" s="208"/>
      <c r="CIT286" s="208"/>
      <c r="CIU286" s="208"/>
      <c r="CIV286" s="208"/>
      <c r="CIW286" s="208"/>
      <c r="CIX286" s="208"/>
      <c r="CIY286" s="208"/>
      <c r="CIZ286" s="208"/>
      <c r="CJA286" s="208"/>
      <c r="CJB286" s="208"/>
      <c r="CJC286" s="208"/>
      <c r="CJD286" s="208"/>
      <c r="CJE286" s="208"/>
      <c r="CJF286" s="208"/>
      <c r="CJG286" s="208"/>
      <c r="CJH286" s="208"/>
      <c r="CJI286" s="208"/>
      <c r="CJJ286" s="208"/>
      <c r="CJK286" s="208"/>
      <c r="CJL286" s="208"/>
      <c r="CJM286" s="208"/>
      <c r="CJN286" s="208"/>
      <c r="CJO286" s="208"/>
      <c r="CJP286" s="208"/>
      <c r="CJQ286" s="208"/>
      <c r="CJR286" s="208"/>
      <c r="CJS286" s="208"/>
      <c r="CJT286" s="208"/>
      <c r="CJU286" s="208"/>
      <c r="CJV286" s="208"/>
      <c r="CJW286" s="208"/>
      <c r="CJX286" s="208"/>
      <c r="CJY286" s="208"/>
      <c r="CJZ286" s="208"/>
      <c r="CKA286" s="208"/>
      <c r="CKB286" s="208"/>
      <c r="CKC286" s="208"/>
      <c r="CKD286" s="208"/>
      <c r="CKE286" s="208"/>
      <c r="CKF286" s="208"/>
      <c r="CKG286" s="208"/>
      <c r="CKH286" s="208"/>
      <c r="CKI286" s="208"/>
      <c r="CKJ286" s="208"/>
      <c r="CKK286" s="208"/>
      <c r="CKL286" s="208"/>
      <c r="CKM286" s="208"/>
      <c r="CKN286" s="208"/>
      <c r="CKO286" s="208"/>
      <c r="CKP286" s="208"/>
      <c r="CKQ286" s="208"/>
      <c r="CKR286" s="208"/>
      <c r="CKS286" s="208"/>
      <c r="CKT286" s="208"/>
      <c r="CKU286" s="208"/>
      <c r="CKV286" s="208"/>
      <c r="CKW286" s="208"/>
      <c r="CKX286" s="208"/>
      <c r="CKY286" s="208"/>
      <c r="CKZ286" s="208"/>
      <c r="CLA286" s="208"/>
      <c r="CLB286" s="208"/>
      <c r="CLC286" s="208"/>
      <c r="CLD286" s="208"/>
      <c r="CLE286" s="208"/>
      <c r="CLF286" s="208"/>
      <c r="CLG286" s="208"/>
      <c r="CLH286" s="208"/>
      <c r="CLI286" s="208"/>
      <c r="CLJ286" s="208"/>
      <c r="CLK286" s="208"/>
      <c r="CLL286" s="208"/>
      <c r="CLM286" s="208"/>
      <c r="CLN286" s="208"/>
      <c r="CLO286" s="208"/>
      <c r="CLP286" s="208"/>
      <c r="CLQ286" s="208"/>
      <c r="CLR286" s="208"/>
      <c r="CLS286" s="208"/>
      <c r="CLT286" s="208"/>
      <c r="CLU286" s="208"/>
      <c r="CLV286" s="208"/>
      <c r="CLW286" s="208"/>
      <c r="CLX286" s="208"/>
      <c r="CLY286" s="208"/>
      <c r="CLZ286" s="208"/>
      <c r="CMA286" s="208"/>
      <c r="CMB286" s="208"/>
      <c r="CMC286" s="208"/>
      <c r="CMD286" s="208"/>
      <c r="CME286" s="208"/>
      <c r="CMF286" s="208"/>
      <c r="CMG286" s="208"/>
      <c r="CMH286" s="208"/>
      <c r="CMI286" s="208"/>
      <c r="CMJ286" s="208"/>
      <c r="CMK286" s="208"/>
      <c r="CML286" s="208"/>
      <c r="CMM286" s="208"/>
      <c r="CMN286" s="208"/>
      <c r="CMO286" s="208"/>
      <c r="CMP286" s="208"/>
      <c r="CMQ286" s="208"/>
      <c r="CMR286" s="208"/>
      <c r="CMS286" s="208"/>
      <c r="CMT286" s="208"/>
      <c r="CMU286" s="208"/>
      <c r="CMV286" s="208"/>
      <c r="CMW286" s="208"/>
      <c r="CMX286" s="208"/>
      <c r="CMY286" s="208"/>
      <c r="CMZ286" s="208"/>
      <c r="CNA286" s="208"/>
      <c r="CNB286" s="208"/>
      <c r="CNC286" s="208"/>
      <c r="CND286" s="208"/>
      <c r="CNE286" s="208"/>
      <c r="CNF286" s="208"/>
      <c r="CNG286" s="208"/>
      <c r="CNH286" s="208"/>
      <c r="CNI286" s="208"/>
      <c r="CNJ286" s="208"/>
      <c r="CNK286" s="208"/>
      <c r="CNL286" s="208"/>
      <c r="CNM286" s="208"/>
      <c r="CNN286" s="208"/>
      <c r="CNO286" s="208"/>
      <c r="CNP286" s="208"/>
      <c r="CNQ286" s="208"/>
      <c r="CNR286" s="208"/>
      <c r="CNS286" s="208"/>
      <c r="CNT286" s="208"/>
      <c r="CNU286" s="208"/>
      <c r="CNV286" s="208"/>
      <c r="CNW286" s="208"/>
      <c r="CNX286" s="208"/>
      <c r="CNY286" s="208"/>
      <c r="CNZ286" s="208"/>
      <c r="COA286" s="208"/>
      <c r="COB286" s="208"/>
      <c r="COC286" s="208"/>
      <c r="COD286" s="208"/>
      <c r="COE286" s="208"/>
      <c r="COF286" s="208"/>
      <c r="COG286" s="208"/>
      <c r="COH286" s="208"/>
      <c r="COI286" s="208"/>
      <c r="COJ286" s="208"/>
      <c r="COK286" s="208"/>
      <c r="COL286" s="208"/>
      <c r="COM286" s="208"/>
      <c r="CON286" s="208"/>
      <c r="COO286" s="208"/>
      <c r="COP286" s="208"/>
      <c r="COQ286" s="208"/>
      <c r="COR286" s="208"/>
      <c r="COS286" s="208"/>
      <c r="COT286" s="208"/>
      <c r="COU286" s="208"/>
      <c r="COV286" s="208"/>
      <c r="COW286" s="208"/>
      <c r="COX286" s="208"/>
      <c r="COY286" s="208"/>
      <c r="COZ286" s="208"/>
      <c r="CPA286" s="208"/>
      <c r="CPB286" s="208"/>
      <c r="CPC286" s="208"/>
      <c r="CPD286" s="208"/>
      <c r="CPE286" s="208"/>
      <c r="CPF286" s="208"/>
      <c r="CPG286" s="208"/>
      <c r="CPH286" s="208"/>
      <c r="CPI286" s="208"/>
      <c r="CPJ286" s="208"/>
      <c r="CPK286" s="208"/>
      <c r="CPL286" s="208"/>
      <c r="CPM286" s="208"/>
      <c r="CPN286" s="208"/>
      <c r="CPO286" s="208"/>
      <c r="CPP286" s="208"/>
      <c r="CPQ286" s="208"/>
      <c r="CPR286" s="208"/>
      <c r="CPS286" s="208"/>
      <c r="CPT286" s="208"/>
      <c r="CPU286" s="208"/>
      <c r="CPV286" s="208"/>
      <c r="CPW286" s="208"/>
      <c r="CPX286" s="208"/>
      <c r="CPY286" s="208"/>
      <c r="CPZ286" s="208"/>
      <c r="CQA286" s="208"/>
      <c r="CQB286" s="208"/>
      <c r="CQC286" s="208"/>
      <c r="CQD286" s="208"/>
      <c r="CQE286" s="208"/>
      <c r="CQF286" s="208"/>
      <c r="CQG286" s="208"/>
      <c r="CQH286" s="208"/>
      <c r="CQI286" s="208"/>
      <c r="CQJ286" s="208"/>
      <c r="CQK286" s="208"/>
      <c r="CQL286" s="208"/>
      <c r="CQM286" s="208"/>
      <c r="CQN286" s="208"/>
      <c r="CQO286" s="208"/>
      <c r="CQP286" s="208"/>
      <c r="CQQ286" s="208"/>
      <c r="CQR286" s="208"/>
      <c r="CQS286" s="208"/>
      <c r="CQT286" s="208"/>
      <c r="CQU286" s="208"/>
      <c r="CQV286" s="208"/>
      <c r="CQW286" s="208"/>
      <c r="CQX286" s="208"/>
      <c r="CQY286" s="208"/>
      <c r="CQZ286" s="208"/>
      <c r="CRA286" s="208"/>
      <c r="CRB286" s="208"/>
      <c r="CRC286" s="208"/>
      <c r="CRD286" s="208"/>
      <c r="CRE286" s="208"/>
      <c r="CRF286" s="208"/>
      <c r="CRG286" s="208"/>
      <c r="CRH286" s="208"/>
      <c r="CRI286" s="208"/>
      <c r="CRJ286" s="208"/>
      <c r="CRK286" s="208"/>
      <c r="CRL286" s="208"/>
      <c r="CRM286" s="208"/>
      <c r="CRN286" s="208"/>
      <c r="CRO286" s="208"/>
      <c r="CRP286" s="208"/>
      <c r="CRQ286" s="208"/>
      <c r="CRR286" s="208"/>
      <c r="CRS286" s="208"/>
      <c r="CRT286" s="208"/>
      <c r="CRU286" s="208"/>
      <c r="CRV286" s="208"/>
      <c r="CRW286" s="208"/>
      <c r="CRX286" s="208"/>
      <c r="CRY286" s="208"/>
      <c r="CRZ286" s="208"/>
      <c r="CSA286" s="208"/>
      <c r="CSB286" s="208"/>
      <c r="CSC286" s="208"/>
      <c r="CSD286" s="208"/>
      <c r="CSE286" s="208"/>
      <c r="CSF286" s="208"/>
      <c r="CSG286" s="208"/>
      <c r="CSH286" s="208"/>
      <c r="CSI286" s="208"/>
      <c r="CSJ286" s="208"/>
      <c r="CSK286" s="208"/>
      <c r="CSL286" s="208"/>
      <c r="CSM286" s="208"/>
      <c r="CSN286" s="208"/>
      <c r="CSO286" s="208"/>
      <c r="CSP286" s="208"/>
      <c r="CSQ286" s="208"/>
      <c r="CSR286" s="208"/>
      <c r="CSS286" s="208"/>
      <c r="CST286" s="208"/>
      <c r="CSU286" s="208"/>
      <c r="CSV286" s="208"/>
      <c r="CSW286" s="208"/>
      <c r="CSX286" s="208"/>
      <c r="CSY286" s="208"/>
      <c r="CSZ286" s="208"/>
      <c r="CTA286" s="208"/>
      <c r="CTB286" s="208"/>
      <c r="CTC286" s="208"/>
      <c r="CTD286" s="208"/>
      <c r="CTE286" s="208"/>
      <c r="CTF286" s="208"/>
      <c r="CTG286" s="208"/>
      <c r="CTH286" s="208"/>
      <c r="CTI286" s="208"/>
      <c r="CTJ286" s="208"/>
      <c r="CTK286" s="208"/>
      <c r="CTL286" s="208"/>
      <c r="CTM286" s="208"/>
      <c r="CTN286" s="208"/>
      <c r="CTO286" s="208"/>
      <c r="CTP286" s="208"/>
      <c r="CTQ286" s="208"/>
      <c r="CTR286" s="208"/>
      <c r="CTS286" s="208"/>
      <c r="CTT286" s="208"/>
      <c r="CTU286" s="208"/>
      <c r="CTV286" s="208"/>
      <c r="CTW286" s="208"/>
      <c r="CTX286" s="208"/>
      <c r="CTY286" s="208"/>
      <c r="CTZ286" s="208"/>
      <c r="CUA286" s="208"/>
      <c r="CUB286" s="208"/>
      <c r="CUC286" s="208"/>
      <c r="CUD286" s="208"/>
      <c r="CUE286" s="208"/>
      <c r="CUF286" s="208"/>
      <c r="CUG286" s="208"/>
      <c r="CUH286" s="208"/>
      <c r="CUI286" s="208"/>
      <c r="CUJ286" s="208"/>
      <c r="CUK286" s="208"/>
      <c r="CUL286" s="208"/>
      <c r="CUM286" s="208"/>
      <c r="CUN286" s="208"/>
      <c r="CUO286" s="208"/>
      <c r="CUP286" s="208"/>
      <c r="CUQ286" s="208"/>
      <c r="CUR286" s="208"/>
      <c r="CUS286" s="208"/>
      <c r="CUT286" s="208"/>
      <c r="CUU286" s="208"/>
      <c r="CUV286" s="208"/>
      <c r="CUW286" s="208"/>
      <c r="CUX286" s="208"/>
      <c r="CUY286" s="208"/>
      <c r="CUZ286" s="208"/>
      <c r="CVA286" s="208"/>
      <c r="CVB286" s="208"/>
      <c r="CVC286" s="208"/>
      <c r="CVD286" s="208"/>
      <c r="CVE286" s="208"/>
      <c r="CVF286" s="208"/>
      <c r="CVG286" s="208"/>
      <c r="CVH286" s="208"/>
      <c r="CVI286" s="208"/>
      <c r="CVJ286" s="208"/>
      <c r="CVK286" s="208"/>
      <c r="CVL286" s="208"/>
      <c r="CVM286" s="208"/>
      <c r="CVN286" s="208"/>
      <c r="CVO286" s="208"/>
      <c r="CVP286" s="208"/>
      <c r="CVQ286" s="208"/>
      <c r="CVR286" s="208"/>
      <c r="CVS286" s="208"/>
      <c r="CVT286" s="208"/>
      <c r="CVU286" s="208"/>
      <c r="CVV286" s="208"/>
      <c r="CVW286" s="208"/>
      <c r="CVX286" s="208"/>
      <c r="CVY286" s="208"/>
      <c r="CVZ286" s="208"/>
      <c r="CWA286" s="208"/>
      <c r="CWB286" s="208"/>
      <c r="CWC286" s="208"/>
      <c r="CWD286" s="208"/>
      <c r="CWE286" s="208"/>
      <c r="CWF286" s="208"/>
      <c r="CWG286" s="208"/>
      <c r="CWH286" s="208"/>
      <c r="CWI286" s="208"/>
      <c r="CWJ286" s="208"/>
      <c r="CWK286" s="208"/>
      <c r="CWL286" s="208"/>
      <c r="CWM286" s="208"/>
      <c r="CWN286" s="208"/>
      <c r="CWO286" s="208"/>
      <c r="CWP286" s="208"/>
      <c r="CWQ286" s="208"/>
      <c r="CWR286" s="208"/>
      <c r="CWS286" s="208"/>
      <c r="CWT286" s="208"/>
      <c r="CWU286" s="208"/>
      <c r="CWV286" s="208"/>
      <c r="CWW286" s="208"/>
      <c r="CWX286" s="208"/>
      <c r="CWY286" s="208"/>
      <c r="CWZ286" s="208"/>
      <c r="CXA286" s="208"/>
      <c r="CXB286" s="208"/>
      <c r="CXC286" s="208"/>
      <c r="CXD286" s="208"/>
      <c r="CXE286" s="208"/>
      <c r="CXF286" s="208"/>
      <c r="CXG286" s="208"/>
      <c r="CXH286" s="208"/>
      <c r="CXI286" s="208"/>
      <c r="CXJ286" s="208"/>
      <c r="CXK286" s="208"/>
      <c r="CXL286" s="208"/>
      <c r="CXM286" s="208"/>
      <c r="CXN286" s="208"/>
      <c r="CXO286" s="208"/>
      <c r="CXP286" s="208"/>
      <c r="CXQ286" s="208"/>
      <c r="CXR286" s="208"/>
      <c r="CXS286" s="208"/>
      <c r="CXT286" s="208"/>
      <c r="CXU286" s="208"/>
      <c r="CXV286" s="208"/>
      <c r="CXW286" s="208"/>
      <c r="CXX286" s="208"/>
      <c r="CXY286" s="208"/>
      <c r="CXZ286" s="208"/>
      <c r="CYA286" s="208"/>
      <c r="CYB286" s="208"/>
      <c r="CYC286" s="208"/>
      <c r="CYD286" s="208"/>
      <c r="CYE286" s="208"/>
      <c r="CYF286" s="208"/>
      <c r="CYG286" s="208"/>
      <c r="CYH286" s="208"/>
      <c r="CYI286" s="208"/>
      <c r="CYJ286" s="208"/>
      <c r="CYK286" s="208"/>
      <c r="CYL286" s="208"/>
      <c r="CYM286" s="208"/>
      <c r="CYN286" s="208"/>
      <c r="CYO286" s="208"/>
      <c r="CYP286" s="208"/>
      <c r="CYQ286" s="208"/>
      <c r="CYR286" s="208"/>
      <c r="CYS286" s="208"/>
      <c r="CYT286" s="208"/>
      <c r="CYU286" s="208"/>
      <c r="CYV286" s="208"/>
      <c r="CYW286" s="208"/>
      <c r="CYX286" s="208"/>
      <c r="CYY286" s="208"/>
      <c r="CYZ286" s="208"/>
      <c r="CZA286" s="208"/>
      <c r="CZB286" s="208"/>
      <c r="CZC286" s="208"/>
      <c r="CZD286" s="208"/>
      <c r="CZE286" s="208"/>
      <c r="CZF286" s="208"/>
      <c r="CZG286" s="208"/>
      <c r="CZH286" s="208"/>
      <c r="CZI286" s="208"/>
      <c r="CZJ286" s="208"/>
      <c r="CZK286" s="208"/>
      <c r="CZL286" s="208"/>
      <c r="CZM286" s="208"/>
      <c r="CZN286" s="208"/>
      <c r="CZO286" s="208"/>
      <c r="CZP286" s="208"/>
      <c r="CZQ286" s="208"/>
      <c r="CZR286" s="208"/>
      <c r="CZS286" s="208"/>
      <c r="CZT286" s="208"/>
      <c r="CZU286" s="208"/>
      <c r="CZV286" s="208"/>
      <c r="CZW286" s="208"/>
      <c r="CZX286" s="208"/>
      <c r="CZY286" s="208"/>
      <c r="CZZ286" s="208"/>
      <c r="DAA286" s="208"/>
      <c r="DAB286" s="208"/>
      <c r="DAC286" s="208"/>
      <c r="DAD286" s="208"/>
      <c r="DAE286" s="208"/>
      <c r="DAF286" s="208"/>
      <c r="DAG286" s="208"/>
      <c r="DAH286" s="208"/>
      <c r="DAI286" s="208"/>
      <c r="DAJ286" s="208"/>
      <c r="DAK286" s="208"/>
      <c r="DAL286" s="208"/>
      <c r="DAM286" s="208"/>
      <c r="DAN286" s="208"/>
      <c r="DAO286" s="208"/>
      <c r="DAP286" s="208"/>
      <c r="DAQ286" s="208"/>
      <c r="DAR286" s="208"/>
      <c r="DAS286" s="208"/>
      <c r="DAT286" s="208"/>
      <c r="DAU286" s="208"/>
      <c r="DAV286" s="208"/>
      <c r="DAW286" s="208"/>
      <c r="DAX286" s="208"/>
      <c r="DAY286" s="208"/>
      <c r="DAZ286" s="208"/>
      <c r="DBA286" s="208"/>
      <c r="DBB286" s="208"/>
      <c r="DBC286" s="208"/>
      <c r="DBD286" s="208"/>
      <c r="DBE286" s="208"/>
      <c r="DBF286" s="208"/>
      <c r="DBG286" s="208"/>
      <c r="DBH286" s="208"/>
      <c r="DBI286" s="208"/>
      <c r="DBJ286" s="208"/>
      <c r="DBK286" s="208"/>
      <c r="DBL286" s="208"/>
      <c r="DBM286" s="208"/>
      <c r="DBN286" s="208"/>
      <c r="DBO286" s="208"/>
      <c r="DBP286" s="208"/>
      <c r="DBQ286" s="208"/>
      <c r="DBR286" s="208"/>
      <c r="DBS286" s="208"/>
      <c r="DBT286" s="208"/>
      <c r="DBU286" s="208"/>
      <c r="DBV286" s="208"/>
      <c r="DBW286" s="208"/>
      <c r="DBX286" s="208"/>
      <c r="DBY286" s="208"/>
      <c r="DBZ286" s="208"/>
      <c r="DCA286" s="208"/>
      <c r="DCB286" s="208"/>
      <c r="DCC286" s="208"/>
      <c r="DCD286" s="208"/>
      <c r="DCE286" s="208"/>
      <c r="DCF286" s="208"/>
      <c r="DCG286" s="208"/>
      <c r="DCH286" s="208"/>
      <c r="DCI286" s="208"/>
      <c r="DCJ286" s="208"/>
      <c r="DCK286" s="208"/>
      <c r="DCL286" s="208"/>
      <c r="DCM286" s="208"/>
      <c r="DCN286" s="208"/>
      <c r="DCO286" s="208"/>
      <c r="DCP286" s="208"/>
      <c r="DCQ286" s="208"/>
      <c r="DCR286" s="208"/>
      <c r="DCS286" s="208"/>
      <c r="DCT286" s="208"/>
      <c r="DCU286" s="208"/>
      <c r="DCV286" s="208"/>
      <c r="DCW286" s="208"/>
      <c r="DCX286" s="208"/>
      <c r="DCY286" s="208"/>
      <c r="DCZ286" s="208"/>
      <c r="DDA286" s="208"/>
      <c r="DDB286" s="208"/>
      <c r="DDC286" s="208"/>
      <c r="DDD286" s="208"/>
      <c r="DDE286" s="208"/>
      <c r="DDF286" s="208"/>
      <c r="DDG286" s="208"/>
      <c r="DDH286" s="208"/>
      <c r="DDI286" s="208"/>
      <c r="DDJ286" s="208"/>
      <c r="DDK286" s="208"/>
      <c r="DDL286" s="208"/>
      <c r="DDM286" s="208"/>
      <c r="DDN286" s="208"/>
      <c r="DDO286" s="208"/>
      <c r="DDP286" s="208"/>
      <c r="DDQ286" s="208"/>
      <c r="DDR286" s="208"/>
      <c r="DDS286" s="208"/>
      <c r="DDT286" s="208"/>
      <c r="DDU286" s="208"/>
      <c r="DDV286" s="208"/>
      <c r="DDW286" s="208"/>
      <c r="DDX286" s="208"/>
      <c r="DDY286" s="208"/>
      <c r="DDZ286" s="208"/>
      <c r="DEA286" s="208"/>
      <c r="DEB286" s="208"/>
      <c r="DEC286" s="208"/>
      <c r="DED286" s="208"/>
      <c r="DEE286" s="208"/>
      <c r="DEF286" s="208"/>
      <c r="DEG286" s="208"/>
      <c r="DEH286" s="208"/>
      <c r="DEI286" s="208"/>
      <c r="DEJ286" s="208"/>
      <c r="DEK286" s="208"/>
      <c r="DEL286" s="208"/>
      <c r="DEM286" s="208"/>
      <c r="DEN286" s="208"/>
      <c r="DEO286" s="208"/>
      <c r="DEP286" s="208"/>
      <c r="DEQ286" s="208"/>
      <c r="DER286" s="208"/>
      <c r="DES286" s="208"/>
      <c r="DET286" s="208"/>
      <c r="DEU286" s="208"/>
      <c r="DEV286" s="208"/>
      <c r="DEW286" s="208"/>
      <c r="DEX286" s="208"/>
      <c r="DEY286" s="208"/>
      <c r="DEZ286" s="208"/>
      <c r="DFA286" s="208"/>
      <c r="DFB286" s="208"/>
      <c r="DFC286" s="208"/>
      <c r="DFD286" s="208"/>
      <c r="DFE286" s="208"/>
      <c r="DFF286" s="208"/>
      <c r="DFG286" s="208"/>
      <c r="DFH286" s="208"/>
      <c r="DFI286" s="208"/>
      <c r="DFJ286" s="208"/>
      <c r="DFK286" s="208"/>
      <c r="DFL286" s="208"/>
      <c r="DFM286" s="208"/>
      <c r="DFN286" s="208"/>
      <c r="DFO286" s="208"/>
      <c r="DFP286" s="208"/>
      <c r="DFQ286" s="208"/>
      <c r="DFR286" s="208"/>
      <c r="DFS286" s="208"/>
      <c r="DFT286" s="208"/>
      <c r="DFU286" s="208"/>
      <c r="DFV286" s="208"/>
      <c r="DFW286" s="208"/>
      <c r="DFX286" s="208"/>
      <c r="DFY286" s="208"/>
      <c r="DFZ286" s="208"/>
      <c r="DGA286" s="208"/>
      <c r="DGB286" s="208"/>
      <c r="DGC286" s="208"/>
      <c r="DGD286" s="208"/>
      <c r="DGE286" s="208"/>
      <c r="DGF286" s="208"/>
      <c r="DGG286" s="208"/>
      <c r="DGH286" s="208"/>
      <c r="DGI286" s="208"/>
      <c r="DGJ286" s="208"/>
      <c r="DGK286" s="208"/>
      <c r="DGL286" s="208"/>
      <c r="DGM286" s="208"/>
      <c r="DGN286" s="208"/>
      <c r="DGO286" s="208"/>
      <c r="DGP286" s="208"/>
      <c r="DGQ286" s="208"/>
      <c r="DGR286" s="208"/>
      <c r="DGS286" s="208"/>
      <c r="DGT286" s="208"/>
      <c r="DGU286" s="208"/>
      <c r="DGV286" s="208"/>
      <c r="DGW286" s="208"/>
      <c r="DGX286" s="208"/>
      <c r="DGY286" s="208"/>
      <c r="DGZ286" s="208"/>
      <c r="DHA286" s="208"/>
      <c r="DHB286" s="208"/>
      <c r="DHC286" s="208"/>
      <c r="DHD286" s="208"/>
      <c r="DHE286" s="208"/>
      <c r="DHF286" s="208"/>
      <c r="DHG286" s="208"/>
      <c r="DHH286" s="208"/>
      <c r="DHI286" s="208"/>
      <c r="DHJ286" s="208"/>
      <c r="DHK286" s="208"/>
      <c r="DHL286" s="208"/>
      <c r="DHM286" s="208"/>
      <c r="DHN286" s="208"/>
      <c r="DHO286" s="208"/>
      <c r="DHP286" s="208"/>
      <c r="DHQ286" s="208"/>
      <c r="DHR286" s="208"/>
      <c r="DHS286" s="208"/>
      <c r="DHT286" s="208"/>
      <c r="DHU286" s="208"/>
      <c r="DHV286" s="208"/>
      <c r="DHW286" s="208"/>
      <c r="DHX286" s="208"/>
      <c r="DHY286" s="208"/>
      <c r="DHZ286" s="208"/>
      <c r="DIA286" s="208"/>
      <c r="DIB286" s="208"/>
      <c r="DIC286" s="208"/>
      <c r="DID286" s="208"/>
      <c r="DIE286" s="208"/>
      <c r="DIF286" s="208"/>
      <c r="DIG286" s="208"/>
      <c r="DIH286" s="208"/>
      <c r="DII286" s="208"/>
      <c r="DIJ286" s="208"/>
      <c r="DIK286" s="208"/>
      <c r="DIL286" s="208"/>
      <c r="DIM286" s="208"/>
      <c r="DIN286" s="208"/>
      <c r="DIO286" s="208"/>
      <c r="DIP286" s="208"/>
      <c r="DIQ286" s="208"/>
      <c r="DIR286" s="208"/>
      <c r="DIS286" s="208"/>
      <c r="DIT286" s="208"/>
      <c r="DIU286" s="208"/>
      <c r="DIV286" s="208"/>
      <c r="DIW286" s="208"/>
      <c r="DIX286" s="208"/>
      <c r="DIY286" s="208"/>
      <c r="DIZ286" s="208"/>
      <c r="DJA286" s="208"/>
      <c r="DJB286" s="208"/>
      <c r="DJC286" s="208"/>
      <c r="DJD286" s="208"/>
      <c r="DJE286" s="208"/>
      <c r="DJF286" s="208"/>
      <c r="DJG286" s="208"/>
      <c r="DJH286" s="208"/>
      <c r="DJI286" s="208"/>
      <c r="DJJ286" s="208"/>
      <c r="DJK286" s="208"/>
      <c r="DJL286" s="208"/>
      <c r="DJM286" s="208"/>
      <c r="DJN286" s="208"/>
      <c r="DJO286" s="208"/>
      <c r="DJP286" s="208"/>
      <c r="DJQ286" s="208"/>
      <c r="DJR286" s="208"/>
      <c r="DJS286" s="208"/>
      <c r="DJT286" s="208"/>
      <c r="DJU286" s="208"/>
      <c r="DJV286" s="208"/>
      <c r="DJW286" s="208"/>
      <c r="DJX286" s="208"/>
      <c r="DJY286" s="208"/>
      <c r="DJZ286" s="208"/>
      <c r="DKA286" s="208"/>
      <c r="DKB286" s="208"/>
      <c r="DKC286" s="208"/>
      <c r="DKD286" s="208"/>
      <c r="DKE286" s="208"/>
      <c r="DKF286" s="208"/>
      <c r="DKG286" s="208"/>
      <c r="DKH286" s="208"/>
      <c r="DKI286" s="208"/>
      <c r="DKJ286" s="208"/>
      <c r="DKK286" s="208"/>
      <c r="DKL286" s="208"/>
      <c r="DKM286" s="208"/>
      <c r="DKN286" s="208"/>
      <c r="DKO286" s="208"/>
      <c r="DKP286" s="208"/>
      <c r="DKQ286" s="208"/>
      <c r="DKR286" s="208"/>
      <c r="DKS286" s="208"/>
      <c r="DKT286" s="208"/>
      <c r="DKU286" s="208"/>
      <c r="DKV286" s="208"/>
      <c r="DKW286" s="208"/>
      <c r="DKX286" s="208"/>
      <c r="DKY286" s="208"/>
      <c r="DKZ286" s="208"/>
      <c r="DLA286" s="208"/>
      <c r="DLB286" s="208"/>
      <c r="DLC286" s="208"/>
      <c r="DLD286" s="208"/>
      <c r="DLE286" s="208"/>
      <c r="DLF286" s="208"/>
      <c r="DLG286" s="208"/>
      <c r="DLH286" s="208"/>
      <c r="DLI286" s="208"/>
      <c r="DLJ286" s="208"/>
      <c r="DLK286" s="208"/>
      <c r="DLL286" s="208"/>
      <c r="DLM286" s="208"/>
      <c r="DLN286" s="208"/>
      <c r="DLO286" s="208"/>
      <c r="DLP286" s="208"/>
      <c r="DLQ286" s="208"/>
      <c r="DLR286" s="208"/>
      <c r="DLS286" s="208"/>
      <c r="DLT286" s="208"/>
      <c r="DLU286" s="208"/>
      <c r="DLV286" s="208"/>
      <c r="DLW286" s="208"/>
      <c r="DLX286" s="208"/>
      <c r="DLY286" s="208"/>
      <c r="DLZ286" s="208"/>
      <c r="DMA286" s="208"/>
      <c r="DMB286" s="208"/>
      <c r="DMC286" s="208"/>
      <c r="DMD286" s="208"/>
      <c r="DME286" s="208"/>
      <c r="DMF286" s="208"/>
      <c r="DMG286" s="208"/>
      <c r="DMH286" s="208"/>
      <c r="DMI286" s="208"/>
      <c r="DMJ286" s="208"/>
      <c r="DMK286" s="208"/>
      <c r="DML286" s="208"/>
      <c r="DMM286" s="208"/>
      <c r="DMN286" s="208"/>
      <c r="DMO286" s="208"/>
      <c r="DMP286" s="208"/>
      <c r="DMQ286" s="208"/>
      <c r="DMR286" s="208"/>
      <c r="DMS286" s="208"/>
      <c r="DMT286" s="208"/>
      <c r="DMU286" s="208"/>
      <c r="DMV286" s="208"/>
      <c r="DMW286" s="208"/>
      <c r="DMX286" s="208"/>
      <c r="DMY286" s="208"/>
      <c r="DMZ286" s="208"/>
      <c r="DNA286" s="208"/>
      <c r="DNB286" s="208"/>
      <c r="DNC286" s="208"/>
      <c r="DND286" s="208"/>
      <c r="DNE286" s="208"/>
      <c r="DNF286" s="208"/>
      <c r="DNG286" s="208"/>
      <c r="DNH286" s="208"/>
      <c r="DNI286" s="208"/>
      <c r="DNJ286" s="208"/>
      <c r="DNK286" s="208"/>
      <c r="DNL286" s="208"/>
      <c r="DNM286" s="208"/>
      <c r="DNN286" s="208"/>
      <c r="DNO286" s="208"/>
      <c r="DNP286" s="208"/>
      <c r="DNQ286" s="208"/>
      <c r="DNR286" s="208"/>
      <c r="DNS286" s="208"/>
      <c r="DNT286" s="208"/>
      <c r="DNU286" s="208"/>
      <c r="DNV286" s="208"/>
      <c r="DNW286" s="208"/>
      <c r="DNX286" s="208"/>
      <c r="DNY286" s="208"/>
      <c r="DNZ286" s="208"/>
      <c r="DOA286" s="208"/>
      <c r="DOB286" s="208"/>
      <c r="DOC286" s="208"/>
      <c r="DOD286" s="208"/>
      <c r="DOE286" s="208"/>
      <c r="DOF286" s="208"/>
      <c r="DOG286" s="208"/>
      <c r="DOH286" s="208"/>
      <c r="DOI286" s="208"/>
      <c r="DOJ286" s="208"/>
      <c r="DOK286" s="208"/>
      <c r="DOL286" s="208"/>
      <c r="DOM286" s="208"/>
      <c r="DON286" s="208"/>
      <c r="DOO286" s="208"/>
      <c r="DOP286" s="208"/>
      <c r="DOQ286" s="208"/>
      <c r="DOR286" s="208"/>
      <c r="DOS286" s="208"/>
      <c r="DOT286" s="208"/>
      <c r="DOU286" s="208"/>
      <c r="DOV286" s="208"/>
      <c r="DOW286" s="208"/>
      <c r="DOX286" s="208"/>
      <c r="DOY286" s="208"/>
      <c r="DOZ286" s="208"/>
      <c r="DPA286" s="208"/>
      <c r="DPB286" s="208"/>
      <c r="DPC286" s="208"/>
      <c r="DPD286" s="208"/>
      <c r="DPE286" s="208"/>
      <c r="DPF286" s="208"/>
      <c r="DPG286" s="208"/>
      <c r="DPH286" s="208"/>
      <c r="DPI286" s="208"/>
      <c r="DPJ286" s="208"/>
      <c r="DPK286" s="208"/>
      <c r="DPL286" s="208"/>
      <c r="DPM286" s="208"/>
      <c r="DPN286" s="208"/>
      <c r="DPO286" s="208"/>
      <c r="DPP286" s="208"/>
      <c r="DPQ286" s="208"/>
      <c r="DPR286" s="208"/>
      <c r="DPS286" s="208"/>
      <c r="DPT286" s="208"/>
      <c r="DPU286" s="208"/>
      <c r="DPV286" s="208"/>
      <c r="DPW286" s="208"/>
      <c r="DPX286" s="208"/>
      <c r="DPY286" s="208"/>
      <c r="DPZ286" s="208"/>
      <c r="DQA286" s="208"/>
      <c r="DQB286" s="208"/>
      <c r="DQC286" s="208"/>
      <c r="DQD286" s="208"/>
      <c r="DQE286" s="208"/>
      <c r="DQF286" s="208"/>
      <c r="DQG286" s="208"/>
      <c r="DQH286" s="208"/>
      <c r="DQI286" s="208"/>
      <c r="DQJ286" s="208"/>
      <c r="DQK286" s="208"/>
      <c r="DQL286" s="208"/>
      <c r="DQM286" s="208"/>
      <c r="DQN286" s="208"/>
      <c r="DQO286" s="208"/>
      <c r="DQP286" s="208"/>
      <c r="DQQ286" s="208"/>
      <c r="DQR286" s="208"/>
      <c r="DQS286" s="208"/>
      <c r="DQT286" s="208"/>
      <c r="DQU286" s="208"/>
      <c r="DQV286" s="208"/>
      <c r="DQW286" s="208"/>
      <c r="DQX286" s="208"/>
      <c r="DQY286" s="208"/>
      <c r="DQZ286" s="208"/>
      <c r="DRA286" s="208"/>
      <c r="DRB286" s="208"/>
      <c r="DRC286" s="208"/>
      <c r="DRD286" s="208"/>
      <c r="DRE286" s="208"/>
      <c r="DRF286" s="208"/>
      <c r="DRG286" s="208"/>
      <c r="DRH286" s="208"/>
      <c r="DRI286" s="208"/>
      <c r="DRJ286" s="208"/>
      <c r="DRK286" s="208"/>
      <c r="DRL286" s="208"/>
      <c r="DRM286" s="208"/>
      <c r="DRN286" s="208"/>
      <c r="DRO286" s="208"/>
      <c r="DRP286" s="208"/>
      <c r="DRQ286" s="208"/>
      <c r="DRR286" s="208"/>
      <c r="DRS286" s="208"/>
      <c r="DRT286" s="208"/>
      <c r="DRU286" s="208"/>
      <c r="DRV286" s="208"/>
      <c r="DRW286" s="208"/>
      <c r="DRX286" s="208"/>
      <c r="DRY286" s="208"/>
      <c r="DRZ286" s="208"/>
      <c r="DSA286" s="208"/>
      <c r="DSB286" s="208"/>
      <c r="DSC286" s="208"/>
      <c r="DSD286" s="208"/>
      <c r="DSE286" s="208"/>
      <c r="DSF286" s="208"/>
      <c r="DSG286" s="208"/>
      <c r="DSH286" s="208"/>
      <c r="DSI286" s="208"/>
      <c r="DSJ286" s="208"/>
      <c r="DSK286" s="208"/>
      <c r="DSL286" s="208"/>
      <c r="DSM286" s="208"/>
      <c r="DSN286" s="208"/>
      <c r="DSO286" s="208"/>
      <c r="DSP286" s="208"/>
      <c r="DSQ286" s="208"/>
      <c r="DSR286" s="208"/>
      <c r="DSS286" s="208"/>
      <c r="DST286" s="208"/>
      <c r="DSU286" s="208"/>
      <c r="DSV286" s="208"/>
      <c r="DSW286" s="208"/>
      <c r="DSX286" s="208"/>
      <c r="DSY286" s="208"/>
      <c r="DSZ286" s="208"/>
      <c r="DTA286" s="208"/>
      <c r="DTB286" s="208"/>
      <c r="DTC286" s="208"/>
      <c r="DTD286" s="208"/>
      <c r="DTE286" s="208"/>
      <c r="DTF286" s="208"/>
      <c r="DTG286" s="208"/>
      <c r="DTH286" s="208"/>
      <c r="DTI286" s="208"/>
      <c r="DTJ286" s="208"/>
      <c r="DTK286" s="208"/>
      <c r="DTL286" s="208"/>
      <c r="DTM286" s="208"/>
      <c r="DTN286" s="208"/>
      <c r="DTO286" s="208"/>
      <c r="DTP286" s="208"/>
      <c r="DTQ286" s="208"/>
      <c r="DTR286" s="208"/>
      <c r="DTS286" s="208"/>
      <c r="DTT286" s="208"/>
      <c r="DTU286" s="208"/>
      <c r="DTV286" s="208"/>
      <c r="DTW286" s="208"/>
      <c r="DTX286" s="208"/>
      <c r="DTY286" s="208"/>
      <c r="DTZ286" s="208"/>
      <c r="DUA286" s="208"/>
      <c r="DUB286" s="208"/>
      <c r="DUC286" s="208"/>
      <c r="DUD286" s="208"/>
      <c r="DUE286" s="208"/>
      <c r="DUF286" s="208"/>
      <c r="DUG286" s="208"/>
      <c r="DUH286" s="208"/>
      <c r="DUI286" s="208"/>
      <c r="DUJ286" s="208"/>
      <c r="DUK286" s="208"/>
      <c r="DUL286" s="208"/>
      <c r="DUM286" s="208"/>
      <c r="DUN286" s="208"/>
      <c r="DUO286" s="208"/>
      <c r="DUP286" s="208"/>
      <c r="DUQ286" s="208"/>
      <c r="DUR286" s="208"/>
      <c r="DUS286" s="208"/>
      <c r="DUT286" s="208"/>
      <c r="DUU286" s="208"/>
      <c r="DUV286" s="208"/>
      <c r="DUW286" s="208"/>
      <c r="DUX286" s="208"/>
      <c r="DUY286" s="208"/>
      <c r="DUZ286" s="208"/>
      <c r="DVA286" s="208"/>
      <c r="DVB286" s="208"/>
      <c r="DVC286" s="208"/>
      <c r="DVD286" s="208"/>
      <c r="DVE286" s="208"/>
      <c r="DVF286" s="208"/>
      <c r="DVG286" s="208"/>
      <c r="DVH286" s="208"/>
      <c r="DVI286" s="208"/>
      <c r="DVJ286" s="208"/>
      <c r="DVK286" s="208"/>
      <c r="DVL286" s="208"/>
      <c r="DVM286" s="208"/>
      <c r="DVN286" s="208"/>
      <c r="DVO286" s="208"/>
      <c r="DVP286" s="208"/>
      <c r="DVQ286" s="208"/>
      <c r="DVR286" s="208"/>
      <c r="DVS286" s="208"/>
      <c r="DVT286" s="208"/>
      <c r="DVU286" s="208"/>
      <c r="DVV286" s="208"/>
      <c r="DVW286" s="208"/>
      <c r="DVX286" s="208"/>
      <c r="DVY286" s="208"/>
      <c r="DVZ286" s="208"/>
      <c r="DWA286" s="208"/>
      <c r="DWB286" s="208"/>
      <c r="DWC286" s="208"/>
      <c r="DWD286" s="208"/>
      <c r="DWE286" s="208"/>
      <c r="DWF286" s="208"/>
      <c r="DWG286" s="208"/>
      <c r="DWH286" s="208"/>
      <c r="DWI286" s="208"/>
      <c r="DWJ286" s="208"/>
      <c r="DWK286" s="208"/>
      <c r="DWL286" s="208"/>
      <c r="DWM286" s="208"/>
      <c r="DWN286" s="208"/>
      <c r="DWO286" s="208"/>
      <c r="DWP286" s="208"/>
      <c r="DWQ286" s="208"/>
      <c r="DWR286" s="208"/>
      <c r="DWS286" s="208"/>
      <c r="DWT286" s="208"/>
      <c r="DWU286" s="208"/>
      <c r="DWV286" s="208"/>
      <c r="DWW286" s="208"/>
      <c r="DWX286" s="208"/>
      <c r="DWY286" s="208"/>
      <c r="DWZ286" s="208"/>
      <c r="DXA286" s="208"/>
      <c r="DXB286" s="208"/>
      <c r="DXC286" s="208"/>
      <c r="DXD286" s="208"/>
      <c r="DXE286" s="208"/>
      <c r="DXF286" s="208"/>
      <c r="DXG286" s="208"/>
      <c r="DXH286" s="208"/>
      <c r="DXI286" s="208"/>
      <c r="DXJ286" s="208"/>
      <c r="DXK286" s="208"/>
      <c r="DXL286" s="208"/>
      <c r="DXM286" s="208"/>
      <c r="DXN286" s="208"/>
      <c r="DXO286" s="208"/>
      <c r="DXP286" s="208"/>
      <c r="DXQ286" s="208"/>
      <c r="DXR286" s="208"/>
      <c r="DXS286" s="208"/>
      <c r="DXT286" s="208"/>
      <c r="DXU286" s="208"/>
      <c r="DXV286" s="208"/>
      <c r="DXW286" s="208"/>
      <c r="DXX286" s="208"/>
      <c r="DXY286" s="208"/>
      <c r="DXZ286" s="208"/>
      <c r="DYA286" s="208"/>
      <c r="DYB286" s="208"/>
      <c r="DYC286" s="208"/>
      <c r="DYD286" s="208"/>
      <c r="DYE286" s="208"/>
      <c r="DYF286" s="208"/>
      <c r="DYG286" s="208"/>
      <c r="DYH286" s="208"/>
      <c r="DYI286" s="208"/>
      <c r="DYJ286" s="208"/>
      <c r="DYK286" s="208"/>
      <c r="DYL286" s="208"/>
      <c r="DYM286" s="208"/>
      <c r="DYN286" s="208"/>
      <c r="DYO286" s="208"/>
      <c r="DYP286" s="208"/>
      <c r="DYQ286" s="208"/>
      <c r="DYR286" s="208"/>
      <c r="DYS286" s="208"/>
      <c r="DYT286" s="208"/>
      <c r="DYU286" s="208"/>
      <c r="DYV286" s="208"/>
      <c r="DYW286" s="208"/>
      <c r="DYX286" s="208"/>
      <c r="DYY286" s="208"/>
      <c r="DYZ286" s="208"/>
      <c r="DZA286" s="208"/>
      <c r="DZB286" s="208"/>
      <c r="DZC286" s="208"/>
      <c r="DZD286" s="208"/>
      <c r="DZE286" s="208"/>
      <c r="DZF286" s="208"/>
      <c r="DZG286" s="208"/>
      <c r="DZH286" s="208"/>
      <c r="DZI286" s="208"/>
      <c r="DZJ286" s="208"/>
      <c r="DZK286" s="208"/>
      <c r="DZL286" s="208"/>
      <c r="DZM286" s="208"/>
      <c r="DZN286" s="208"/>
      <c r="DZO286" s="208"/>
      <c r="DZP286" s="208"/>
      <c r="DZQ286" s="208"/>
      <c r="DZR286" s="208"/>
      <c r="DZS286" s="208"/>
      <c r="DZT286" s="208"/>
      <c r="DZU286" s="208"/>
      <c r="DZV286" s="208"/>
      <c r="DZW286" s="208"/>
      <c r="DZX286" s="208"/>
      <c r="DZY286" s="208"/>
      <c r="DZZ286" s="208"/>
      <c r="EAA286" s="208"/>
      <c r="EAB286" s="208"/>
      <c r="EAC286" s="208"/>
      <c r="EAD286" s="208"/>
      <c r="EAE286" s="208"/>
      <c r="EAF286" s="208"/>
      <c r="EAG286" s="208"/>
      <c r="EAH286" s="208"/>
      <c r="EAI286" s="208"/>
      <c r="EAJ286" s="208"/>
      <c r="EAK286" s="208"/>
      <c r="EAL286" s="208"/>
      <c r="EAM286" s="208"/>
      <c r="EAN286" s="208"/>
      <c r="EAO286" s="208"/>
      <c r="EAP286" s="208"/>
      <c r="EAQ286" s="208"/>
      <c r="EAR286" s="208"/>
      <c r="EAS286" s="208"/>
      <c r="EAT286" s="208"/>
      <c r="EAU286" s="208"/>
      <c r="EAV286" s="208"/>
      <c r="EAW286" s="208"/>
      <c r="EAX286" s="208"/>
      <c r="EAY286" s="208"/>
      <c r="EAZ286" s="208"/>
      <c r="EBA286" s="208"/>
      <c r="EBB286" s="208"/>
      <c r="EBC286" s="208"/>
      <c r="EBD286" s="208"/>
      <c r="EBE286" s="208"/>
      <c r="EBF286" s="208"/>
      <c r="EBG286" s="208"/>
      <c r="EBH286" s="208"/>
      <c r="EBI286" s="208"/>
      <c r="EBJ286" s="208"/>
      <c r="EBK286" s="208"/>
      <c r="EBL286" s="208"/>
      <c r="EBM286" s="208"/>
      <c r="EBN286" s="208"/>
      <c r="EBO286" s="208"/>
      <c r="EBP286" s="208"/>
      <c r="EBQ286" s="208"/>
      <c r="EBR286" s="208"/>
      <c r="EBS286" s="208"/>
      <c r="EBT286" s="208"/>
      <c r="EBU286" s="208"/>
      <c r="EBV286" s="208"/>
      <c r="EBW286" s="208"/>
      <c r="EBX286" s="208"/>
      <c r="EBY286" s="208"/>
      <c r="EBZ286" s="208"/>
      <c r="ECA286" s="208"/>
      <c r="ECB286" s="208"/>
      <c r="ECC286" s="208"/>
      <c r="ECD286" s="208"/>
      <c r="ECE286" s="208"/>
      <c r="ECF286" s="208"/>
      <c r="ECG286" s="208"/>
      <c r="ECH286" s="208"/>
      <c r="ECI286" s="208"/>
      <c r="ECJ286" s="208"/>
      <c r="ECK286" s="208"/>
      <c r="ECL286" s="208"/>
      <c r="ECM286" s="208"/>
      <c r="ECN286" s="208"/>
      <c r="ECO286" s="208"/>
      <c r="ECP286" s="208"/>
      <c r="ECQ286" s="208"/>
      <c r="ECR286" s="208"/>
      <c r="ECS286" s="208"/>
      <c r="ECT286" s="208"/>
      <c r="ECU286" s="208"/>
      <c r="ECV286" s="208"/>
      <c r="ECW286" s="208"/>
      <c r="ECX286" s="208"/>
      <c r="ECY286" s="208"/>
      <c r="ECZ286" s="208"/>
      <c r="EDA286" s="208"/>
      <c r="EDB286" s="208"/>
      <c r="EDC286" s="208"/>
      <c r="EDD286" s="208"/>
      <c r="EDE286" s="208"/>
      <c r="EDF286" s="208"/>
      <c r="EDG286" s="208"/>
      <c r="EDH286" s="208"/>
      <c r="EDI286" s="208"/>
      <c r="EDJ286" s="208"/>
      <c r="EDK286" s="208"/>
      <c r="EDL286" s="208"/>
      <c r="EDM286" s="208"/>
      <c r="EDN286" s="208"/>
      <c r="EDO286" s="208"/>
      <c r="EDP286" s="208"/>
      <c r="EDQ286" s="208"/>
      <c r="EDR286" s="208"/>
      <c r="EDS286" s="208"/>
      <c r="EDT286" s="208"/>
      <c r="EDU286" s="208"/>
      <c r="EDV286" s="208"/>
      <c r="EDW286" s="208"/>
      <c r="EDX286" s="208"/>
      <c r="EDY286" s="208"/>
      <c r="EDZ286" s="208"/>
      <c r="EEA286" s="208"/>
      <c r="EEB286" s="208"/>
      <c r="EEC286" s="208"/>
      <c r="EED286" s="208"/>
      <c r="EEE286" s="208"/>
      <c r="EEF286" s="208"/>
      <c r="EEG286" s="208"/>
      <c r="EEH286" s="208"/>
      <c r="EEI286" s="208"/>
      <c r="EEJ286" s="208"/>
      <c r="EEK286" s="208"/>
      <c r="EEL286" s="208"/>
      <c r="EEM286" s="208"/>
      <c r="EEN286" s="208"/>
      <c r="EEO286" s="208"/>
      <c r="EEP286" s="208"/>
      <c r="EEQ286" s="208"/>
      <c r="EER286" s="208"/>
      <c r="EES286" s="208"/>
      <c r="EET286" s="208"/>
      <c r="EEU286" s="208"/>
      <c r="EEV286" s="208"/>
      <c r="EEW286" s="208"/>
      <c r="EEX286" s="208"/>
      <c r="EEY286" s="208"/>
      <c r="EEZ286" s="208"/>
      <c r="EFA286" s="208"/>
      <c r="EFB286" s="208"/>
      <c r="EFC286" s="208"/>
      <c r="EFD286" s="208"/>
      <c r="EFE286" s="208"/>
      <c r="EFF286" s="208"/>
      <c r="EFG286" s="208"/>
      <c r="EFH286" s="208"/>
      <c r="EFI286" s="208"/>
      <c r="EFJ286" s="208"/>
      <c r="EFK286" s="208"/>
      <c r="EFL286" s="208"/>
      <c r="EFM286" s="208"/>
      <c r="EFN286" s="208"/>
      <c r="EFO286" s="208"/>
      <c r="EFP286" s="208"/>
      <c r="EFQ286" s="208"/>
      <c r="EFR286" s="208"/>
      <c r="EFS286" s="208"/>
      <c r="EFT286" s="208"/>
      <c r="EFU286" s="208"/>
      <c r="EFV286" s="208"/>
      <c r="EFW286" s="208"/>
      <c r="EFX286" s="208"/>
      <c r="EFY286" s="208"/>
      <c r="EFZ286" s="208"/>
      <c r="EGA286" s="208"/>
      <c r="EGB286" s="208"/>
      <c r="EGC286" s="208"/>
      <c r="EGD286" s="208"/>
      <c r="EGE286" s="208"/>
      <c r="EGF286" s="208"/>
      <c r="EGG286" s="208"/>
      <c r="EGH286" s="208"/>
      <c r="EGI286" s="208"/>
      <c r="EGJ286" s="208"/>
      <c r="EGK286" s="208"/>
      <c r="EGL286" s="208"/>
      <c r="EGM286" s="208"/>
      <c r="EGN286" s="208"/>
      <c r="EGO286" s="208"/>
      <c r="EGP286" s="208"/>
      <c r="EGQ286" s="208"/>
      <c r="EGR286" s="208"/>
      <c r="EGS286" s="208"/>
      <c r="EGT286" s="208"/>
      <c r="EGU286" s="208"/>
      <c r="EGV286" s="208"/>
      <c r="EGW286" s="208"/>
      <c r="EGX286" s="208"/>
      <c r="EGY286" s="208"/>
      <c r="EGZ286" s="208"/>
      <c r="EHA286" s="208"/>
      <c r="EHB286" s="208"/>
      <c r="EHC286" s="208"/>
      <c r="EHD286" s="208"/>
      <c r="EHE286" s="208"/>
      <c r="EHF286" s="208"/>
      <c r="EHG286" s="208"/>
      <c r="EHH286" s="208"/>
      <c r="EHI286" s="208"/>
      <c r="EHJ286" s="208"/>
      <c r="EHK286" s="208"/>
      <c r="EHL286" s="208"/>
      <c r="EHM286" s="208"/>
      <c r="EHN286" s="208"/>
      <c r="EHO286" s="208"/>
      <c r="EHP286" s="208"/>
      <c r="EHQ286" s="208"/>
      <c r="EHR286" s="208"/>
      <c r="EHS286" s="208"/>
      <c r="EHT286" s="208"/>
      <c r="EHU286" s="208"/>
      <c r="EHV286" s="208"/>
      <c r="EHW286" s="208"/>
      <c r="EHX286" s="208"/>
      <c r="EHY286" s="208"/>
      <c r="EHZ286" s="208"/>
      <c r="EIA286" s="208"/>
      <c r="EIB286" s="208"/>
      <c r="EIC286" s="208"/>
      <c r="EID286" s="208"/>
      <c r="EIE286" s="208"/>
      <c r="EIF286" s="208"/>
      <c r="EIG286" s="208"/>
      <c r="EIH286" s="208"/>
      <c r="EII286" s="208"/>
      <c r="EIJ286" s="208"/>
      <c r="EIK286" s="208"/>
      <c r="EIL286" s="208"/>
      <c r="EIM286" s="208"/>
      <c r="EIN286" s="208"/>
      <c r="EIO286" s="208"/>
      <c r="EIP286" s="208"/>
      <c r="EIQ286" s="208"/>
      <c r="EIR286" s="208"/>
      <c r="EIS286" s="208"/>
      <c r="EIT286" s="208"/>
      <c r="EIU286" s="208"/>
      <c r="EIV286" s="208"/>
      <c r="EIW286" s="208"/>
      <c r="EIX286" s="208"/>
      <c r="EIY286" s="208"/>
      <c r="EIZ286" s="208"/>
      <c r="EJA286" s="208"/>
      <c r="EJB286" s="208"/>
      <c r="EJC286" s="208"/>
      <c r="EJD286" s="208"/>
      <c r="EJE286" s="208"/>
      <c r="EJF286" s="208"/>
      <c r="EJG286" s="208"/>
      <c r="EJH286" s="208"/>
      <c r="EJI286" s="208"/>
      <c r="EJJ286" s="208"/>
      <c r="EJK286" s="208"/>
      <c r="EJL286" s="208"/>
      <c r="EJM286" s="208"/>
      <c r="EJN286" s="208"/>
      <c r="EJO286" s="208"/>
      <c r="EJP286" s="208"/>
      <c r="EJQ286" s="208"/>
      <c r="EJR286" s="208"/>
      <c r="EJS286" s="208"/>
      <c r="EJT286" s="208"/>
      <c r="EJU286" s="208"/>
      <c r="EJV286" s="208"/>
      <c r="EJW286" s="208"/>
      <c r="EJX286" s="208"/>
      <c r="EJY286" s="208"/>
      <c r="EJZ286" s="208"/>
      <c r="EKA286" s="208"/>
      <c r="EKB286" s="208"/>
      <c r="EKC286" s="208"/>
      <c r="EKD286" s="208"/>
      <c r="EKE286" s="208"/>
      <c r="EKF286" s="208"/>
      <c r="EKG286" s="208"/>
      <c r="EKH286" s="208"/>
      <c r="EKI286" s="208"/>
      <c r="EKJ286" s="208"/>
      <c r="EKK286" s="208"/>
      <c r="EKL286" s="208"/>
      <c r="EKM286" s="208"/>
      <c r="EKN286" s="208"/>
      <c r="EKO286" s="208"/>
      <c r="EKP286" s="208"/>
      <c r="EKQ286" s="208"/>
      <c r="EKR286" s="208"/>
      <c r="EKS286" s="208"/>
      <c r="EKT286" s="208"/>
      <c r="EKU286" s="208"/>
      <c r="EKV286" s="208"/>
      <c r="EKW286" s="208"/>
      <c r="EKX286" s="208"/>
      <c r="EKY286" s="208"/>
      <c r="EKZ286" s="208"/>
      <c r="ELA286" s="208"/>
      <c r="ELB286" s="208"/>
      <c r="ELC286" s="208"/>
      <c r="ELD286" s="208"/>
      <c r="ELE286" s="208"/>
      <c r="ELF286" s="208"/>
      <c r="ELG286" s="208"/>
      <c r="ELH286" s="208"/>
      <c r="ELI286" s="208"/>
      <c r="ELJ286" s="208"/>
      <c r="ELK286" s="208"/>
      <c r="ELL286" s="208"/>
      <c r="ELM286" s="208"/>
      <c r="ELN286" s="208"/>
      <c r="ELO286" s="208"/>
      <c r="ELP286" s="208"/>
      <c r="ELQ286" s="208"/>
      <c r="ELR286" s="208"/>
      <c r="ELS286" s="208"/>
      <c r="ELT286" s="208"/>
      <c r="ELU286" s="208"/>
      <c r="ELV286" s="208"/>
      <c r="ELW286" s="208"/>
      <c r="ELX286" s="208"/>
      <c r="ELY286" s="208"/>
      <c r="ELZ286" s="208"/>
      <c r="EMA286" s="208"/>
      <c r="EMB286" s="208"/>
      <c r="EMC286" s="208"/>
      <c r="EMD286" s="208"/>
      <c r="EME286" s="208"/>
      <c r="EMF286" s="208"/>
      <c r="EMG286" s="208"/>
      <c r="EMH286" s="208"/>
      <c r="EMI286" s="208"/>
      <c r="EMJ286" s="208"/>
      <c r="EMK286" s="208"/>
      <c r="EML286" s="208"/>
      <c r="EMM286" s="208"/>
      <c r="EMN286" s="208"/>
      <c r="EMO286" s="208"/>
      <c r="EMP286" s="208"/>
      <c r="EMQ286" s="208"/>
      <c r="EMR286" s="208"/>
      <c r="EMS286" s="208"/>
      <c r="EMT286" s="208"/>
      <c r="EMU286" s="208"/>
      <c r="EMV286" s="208"/>
      <c r="EMW286" s="208"/>
      <c r="EMX286" s="208"/>
      <c r="EMY286" s="208"/>
      <c r="EMZ286" s="208"/>
      <c r="ENA286" s="208"/>
      <c r="ENB286" s="208"/>
      <c r="ENC286" s="208"/>
      <c r="END286" s="208"/>
      <c r="ENE286" s="208"/>
      <c r="ENF286" s="208"/>
      <c r="ENG286" s="208"/>
      <c r="ENH286" s="208"/>
      <c r="ENI286" s="208"/>
      <c r="ENJ286" s="208"/>
      <c r="ENK286" s="208"/>
      <c r="ENL286" s="208"/>
      <c r="ENM286" s="208"/>
      <c r="ENN286" s="208"/>
      <c r="ENO286" s="208"/>
      <c r="ENP286" s="208"/>
      <c r="ENQ286" s="208"/>
      <c r="ENR286" s="208"/>
      <c r="ENS286" s="208"/>
      <c r="ENT286" s="208"/>
      <c r="ENU286" s="208"/>
      <c r="ENV286" s="208"/>
      <c r="ENW286" s="208"/>
      <c r="ENX286" s="208"/>
      <c r="ENY286" s="208"/>
      <c r="ENZ286" s="208"/>
      <c r="EOA286" s="208"/>
      <c r="EOB286" s="208"/>
      <c r="EOC286" s="208"/>
      <c r="EOD286" s="208"/>
      <c r="EOE286" s="208"/>
      <c r="EOF286" s="208"/>
      <c r="EOG286" s="208"/>
      <c r="EOH286" s="208"/>
      <c r="EOI286" s="208"/>
      <c r="EOJ286" s="208"/>
      <c r="EOK286" s="208"/>
      <c r="EOL286" s="208"/>
      <c r="EOM286" s="208"/>
      <c r="EON286" s="208"/>
      <c r="EOO286" s="208"/>
      <c r="EOP286" s="208"/>
      <c r="EOQ286" s="208"/>
      <c r="EOR286" s="208"/>
      <c r="EOS286" s="208"/>
      <c r="EOT286" s="208"/>
      <c r="EOU286" s="208"/>
      <c r="EOV286" s="208"/>
      <c r="EOW286" s="208"/>
      <c r="EOX286" s="208"/>
      <c r="EOY286" s="208"/>
      <c r="EOZ286" s="208"/>
      <c r="EPA286" s="208"/>
      <c r="EPB286" s="208"/>
      <c r="EPC286" s="208"/>
      <c r="EPD286" s="208"/>
      <c r="EPE286" s="208"/>
      <c r="EPF286" s="208"/>
      <c r="EPG286" s="208"/>
      <c r="EPH286" s="208"/>
      <c r="EPI286" s="208"/>
      <c r="EPJ286" s="208"/>
      <c r="EPK286" s="208"/>
      <c r="EPL286" s="208"/>
      <c r="EPM286" s="208"/>
      <c r="EPN286" s="208"/>
      <c r="EPO286" s="208"/>
      <c r="EPP286" s="208"/>
      <c r="EPQ286" s="208"/>
      <c r="EPR286" s="208"/>
      <c r="EPS286" s="208"/>
      <c r="EPT286" s="208"/>
      <c r="EPU286" s="208"/>
      <c r="EPV286" s="208"/>
      <c r="EPW286" s="208"/>
      <c r="EPX286" s="208"/>
      <c r="EPY286" s="208"/>
      <c r="EPZ286" s="208"/>
      <c r="EQA286" s="208"/>
      <c r="EQB286" s="208"/>
      <c r="EQC286" s="208"/>
      <c r="EQD286" s="208"/>
      <c r="EQE286" s="208"/>
      <c r="EQF286" s="208"/>
      <c r="EQG286" s="208"/>
      <c r="EQH286" s="208"/>
      <c r="EQI286" s="208"/>
      <c r="EQJ286" s="208"/>
      <c r="EQK286" s="208"/>
      <c r="EQL286" s="208"/>
      <c r="EQM286" s="208"/>
      <c r="EQN286" s="208"/>
      <c r="EQO286" s="208"/>
      <c r="EQP286" s="208"/>
      <c r="EQQ286" s="208"/>
      <c r="EQR286" s="208"/>
      <c r="EQS286" s="208"/>
      <c r="EQT286" s="208"/>
      <c r="EQU286" s="208"/>
      <c r="EQV286" s="208"/>
      <c r="EQW286" s="208"/>
      <c r="EQX286" s="208"/>
      <c r="EQY286" s="208"/>
      <c r="EQZ286" s="208"/>
      <c r="ERA286" s="208"/>
      <c r="ERB286" s="208"/>
      <c r="ERC286" s="208"/>
      <c r="ERD286" s="208"/>
      <c r="ERE286" s="208"/>
      <c r="ERF286" s="208"/>
      <c r="ERG286" s="208"/>
      <c r="ERH286" s="208"/>
      <c r="ERI286" s="208"/>
      <c r="ERJ286" s="208"/>
      <c r="ERK286" s="208"/>
      <c r="ERL286" s="208"/>
      <c r="ERM286" s="208"/>
      <c r="ERN286" s="208"/>
      <c r="ERO286" s="208"/>
      <c r="ERP286" s="208"/>
      <c r="ERQ286" s="208"/>
      <c r="ERR286" s="208"/>
      <c r="ERS286" s="208"/>
      <c r="ERT286" s="208"/>
      <c r="ERU286" s="208"/>
      <c r="ERV286" s="208"/>
      <c r="ERW286" s="208"/>
      <c r="ERX286" s="208"/>
      <c r="ERY286" s="208"/>
      <c r="ERZ286" s="208"/>
      <c r="ESA286" s="208"/>
      <c r="ESB286" s="208"/>
      <c r="ESC286" s="208"/>
      <c r="ESD286" s="208"/>
      <c r="ESE286" s="208"/>
      <c r="ESF286" s="208"/>
      <c r="ESG286" s="208"/>
      <c r="ESH286" s="208"/>
      <c r="ESI286" s="208"/>
      <c r="ESJ286" s="208"/>
      <c r="ESK286" s="208"/>
      <c r="ESL286" s="208"/>
      <c r="ESM286" s="208"/>
      <c r="ESN286" s="208"/>
      <c r="ESO286" s="208"/>
      <c r="ESP286" s="208"/>
      <c r="ESQ286" s="208"/>
      <c r="ESR286" s="208"/>
      <c r="ESS286" s="208"/>
      <c r="EST286" s="208"/>
      <c r="ESU286" s="208"/>
      <c r="ESV286" s="208"/>
      <c r="ESW286" s="208"/>
      <c r="ESX286" s="208"/>
      <c r="ESY286" s="208"/>
      <c r="ESZ286" s="208"/>
      <c r="ETA286" s="208"/>
      <c r="ETB286" s="208"/>
      <c r="ETC286" s="208"/>
      <c r="ETD286" s="208"/>
      <c r="ETE286" s="208"/>
      <c r="ETF286" s="208"/>
      <c r="ETG286" s="208"/>
      <c r="ETH286" s="208"/>
      <c r="ETI286" s="208"/>
      <c r="ETJ286" s="208"/>
      <c r="ETK286" s="208"/>
      <c r="ETL286" s="208"/>
      <c r="ETM286" s="208"/>
      <c r="ETN286" s="208"/>
      <c r="ETO286" s="208"/>
      <c r="ETP286" s="208"/>
      <c r="ETQ286" s="208"/>
      <c r="ETR286" s="208"/>
      <c r="ETS286" s="208"/>
      <c r="ETT286" s="208"/>
      <c r="ETU286" s="208"/>
      <c r="ETV286" s="208"/>
      <c r="ETW286" s="208"/>
      <c r="ETX286" s="208"/>
      <c r="ETY286" s="208"/>
      <c r="ETZ286" s="208"/>
      <c r="EUA286" s="208"/>
      <c r="EUB286" s="208"/>
      <c r="EUC286" s="208"/>
      <c r="EUD286" s="208"/>
      <c r="EUE286" s="208"/>
      <c r="EUF286" s="208"/>
      <c r="EUG286" s="208"/>
      <c r="EUH286" s="208"/>
      <c r="EUI286" s="208"/>
      <c r="EUJ286" s="208"/>
      <c r="EUK286" s="208"/>
      <c r="EUL286" s="208"/>
      <c r="EUM286" s="208"/>
      <c r="EUN286" s="208"/>
      <c r="EUO286" s="208"/>
      <c r="EUP286" s="208"/>
      <c r="EUQ286" s="208"/>
      <c r="EUR286" s="208"/>
      <c r="EUS286" s="208"/>
      <c r="EUT286" s="208"/>
      <c r="EUU286" s="208"/>
      <c r="EUV286" s="208"/>
      <c r="EUW286" s="208"/>
      <c r="EUX286" s="208"/>
      <c r="EUY286" s="208"/>
      <c r="EUZ286" s="208"/>
      <c r="EVA286" s="208"/>
      <c r="EVB286" s="208"/>
      <c r="EVC286" s="208"/>
      <c r="EVD286" s="208"/>
      <c r="EVE286" s="208"/>
      <c r="EVF286" s="208"/>
      <c r="EVG286" s="208"/>
      <c r="EVH286" s="208"/>
      <c r="EVI286" s="208"/>
      <c r="EVJ286" s="208"/>
      <c r="EVK286" s="208"/>
      <c r="EVL286" s="208"/>
      <c r="EVM286" s="208"/>
      <c r="EVN286" s="208"/>
      <c r="EVO286" s="208"/>
      <c r="EVP286" s="208"/>
      <c r="EVQ286" s="208"/>
      <c r="EVR286" s="208"/>
      <c r="EVS286" s="208"/>
      <c r="EVT286" s="208"/>
      <c r="EVU286" s="208"/>
      <c r="EVV286" s="208"/>
      <c r="EVW286" s="208"/>
      <c r="EVX286" s="208"/>
      <c r="EVY286" s="208"/>
      <c r="EVZ286" s="208"/>
      <c r="EWA286" s="208"/>
      <c r="EWB286" s="208"/>
      <c r="EWC286" s="208"/>
      <c r="EWD286" s="208"/>
      <c r="EWE286" s="208"/>
      <c r="EWF286" s="208"/>
      <c r="EWG286" s="208"/>
      <c r="EWH286" s="208"/>
      <c r="EWI286" s="208"/>
      <c r="EWJ286" s="208"/>
      <c r="EWK286" s="208"/>
      <c r="EWL286" s="208"/>
      <c r="EWM286" s="208"/>
      <c r="EWN286" s="208"/>
      <c r="EWO286" s="208"/>
      <c r="EWP286" s="208"/>
      <c r="EWQ286" s="208"/>
      <c r="EWR286" s="208"/>
      <c r="EWS286" s="208"/>
      <c r="EWT286" s="208"/>
      <c r="EWU286" s="208"/>
      <c r="EWV286" s="208"/>
      <c r="EWW286" s="208"/>
      <c r="EWX286" s="208"/>
      <c r="EWY286" s="208"/>
      <c r="EWZ286" s="208"/>
      <c r="EXA286" s="208"/>
      <c r="EXB286" s="208"/>
      <c r="EXC286" s="208"/>
      <c r="EXD286" s="208"/>
      <c r="EXE286" s="208"/>
      <c r="EXF286" s="208"/>
      <c r="EXG286" s="208"/>
      <c r="EXH286" s="208"/>
      <c r="EXI286" s="208"/>
      <c r="EXJ286" s="208"/>
      <c r="EXK286" s="208"/>
      <c r="EXL286" s="208"/>
      <c r="EXM286" s="208"/>
      <c r="EXN286" s="208"/>
      <c r="EXO286" s="208"/>
      <c r="EXP286" s="208"/>
      <c r="EXQ286" s="208"/>
      <c r="EXR286" s="208"/>
      <c r="EXS286" s="208"/>
      <c r="EXT286" s="208"/>
      <c r="EXU286" s="208"/>
      <c r="EXV286" s="208"/>
      <c r="EXW286" s="208"/>
      <c r="EXX286" s="208"/>
      <c r="EXY286" s="208"/>
      <c r="EXZ286" s="208"/>
      <c r="EYA286" s="208"/>
      <c r="EYB286" s="208"/>
      <c r="EYC286" s="208"/>
      <c r="EYD286" s="208"/>
      <c r="EYE286" s="208"/>
      <c r="EYF286" s="208"/>
      <c r="EYG286" s="208"/>
      <c r="EYH286" s="208"/>
      <c r="EYI286" s="208"/>
      <c r="EYJ286" s="208"/>
      <c r="EYK286" s="208"/>
      <c r="EYL286" s="208"/>
      <c r="EYM286" s="208"/>
      <c r="EYN286" s="208"/>
      <c r="EYO286" s="208"/>
      <c r="EYP286" s="208"/>
      <c r="EYQ286" s="208"/>
      <c r="EYR286" s="208"/>
      <c r="EYS286" s="208"/>
      <c r="EYT286" s="208"/>
      <c r="EYU286" s="208"/>
      <c r="EYV286" s="208"/>
      <c r="EYW286" s="208"/>
      <c r="EYX286" s="208"/>
      <c r="EYY286" s="208"/>
      <c r="EYZ286" s="208"/>
      <c r="EZA286" s="208"/>
      <c r="EZB286" s="208"/>
      <c r="EZC286" s="208"/>
      <c r="EZD286" s="208"/>
      <c r="EZE286" s="208"/>
      <c r="EZF286" s="208"/>
      <c r="EZG286" s="208"/>
      <c r="EZH286" s="208"/>
      <c r="EZI286" s="208"/>
      <c r="EZJ286" s="208"/>
      <c r="EZK286" s="208"/>
      <c r="EZL286" s="208"/>
      <c r="EZM286" s="208"/>
      <c r="EZN286" s="208"/>
      <c r="EZO286" s="208"/>
      <c r="EZP286" s="208"/>
      <c r="EZQ286" s="208"/>
      <c r="EZR286" s="208"/>
      <c r="EZS286" s="208"/>
      <c r="EZT286" s="208"/>
      <c r="EZU286" s="208"/>
      <c r="EZV286" s="208"/>
      <c r="EZW286" s="208"/>
      <c r="EZX286" s="208"/>
      <c r="EZY286" s="208"/>
      <c r="EZZ286" s="208"/>
      <c r="FAA286" s="208"/>
      <c r="FAB286" s="208"/>
      <c r="FAC286" s="208"/>
      <c r="FAD286" s="208"/>
      <c r="FAE286" s="208"/>
      <c r="FAF286" s="208"/>
      <c r="FAG286" s="208"/>
      <c r="FAH286" s="208"/>
      <c r="FAI286" s="208"/>
      <c r="FAJ286" s="208"/>
      <c r="FAK286" s="208"/>
      <c r="FAL286" s="208"/>
      <c r="FAM286" s="208"/>
      <c r="FAN286" s="208"/>
      <c r="FAO286" s="208"/>
      <c r="FAP286" s="208"/>
      <c r="FAQ286" s="208"/>
      <c r="FAR286" s="208"/>
      <c r="FAS286" s="208"/>
      <c r="FAT286" s="208"/>
      <c r="FAU286" s="208"/>
      <c r="FAV286" s="208"/>
      <c r="FAW286" s="208"/>
      <c r="FAX286" s="208"/>
      <c r="FAY286" s="208"/>
      <c r="FAZ286" s="208"/>
      <c r="FBA286" s="208"/>
      <c r="FBB286" s="208"/>
      <c r="FBC286" s="208"/>
      <c r="FBD286" s="208"/>
      <c r="FBE286" s="208"/>
      <c r="FBF286" s="208"/>
      <c r="FBG286" s="208"/>
      <c r="FBH286" s="208"/>
      <c r="FBI286" s="208"/>
      <c r="FBJ286" s="208"/>
      <c r="FBK286" s="208"/>
      <c r="FBL286" s="208"/>
      <c r="FBM286" s="208"/>
      <c r="FBN286" s="208"/>
      <c r="FBO286" s="208"/>
      <c r="FBP286" s="208"/>
      <c r="FBQ286" s="208"/>
      <c r="FBR286" s="208"/>
      <c r="FBS286" s="208"/>
      <c r="FBT286" s="208"/>
      <c r="FBU286" s="208"/>
      <c r="FBV286" s="208"/>
      <c r="FBW286" s="208"/>
      <c r="FBX286" s="208"/>
      <c r="FBY286" s="208"/>
      <c r="FBZ286" s="208"/>
      <c r="FCA286" s="208"/>
      <c r="FCB286" s="208"/>
      <c r="FCC286" s="208"/>
      <c r="FCD286" s="208"/>
      <c r="FCE286" s="208"/>
      <c r="FCF286" s="208"/>
      <c r="FCG286" s="208"/>
      <c r="FCH286" s="208"/>
      <c r="FCI286" s="208"/>
      <c r="FCJ286" s="208"/>
      <c r="FCK286" s="208"/>
      <c r="FCL286" s="208"/>
      <c r="FCM286" s="208"/>
      <c r="FCN286" s="208"/>
      <c r="FCO286" s="208"/>
      <c r="FCP286" s="208"/>
      <c r="FCQ286" s="208"/>
      <c r="FCR286" s="208"/>
      <c r="FCS286" s="208"/>
      <c r="FCT286" s="208"/>
      <c r="FCU286" s="208"/>
      <c r="FCV286" s="208"/>
      <c r="FCW286" s="208"/>
      <c r="FCX286" s="208"/>
      <c r="FCY286" s="208"/>
      <c r="FCZ286" s="208"/>
      <c r="FDA286" s="208"/>
      <c r="FDB286" s="208"/>
      <c r="FDC286" s="208"/>
      <c r="FDD286" s="208"/>
      <c r="FDE286" s="208"/>
      <c r="FDF286" s="208"/>
      <c r="FDG286" s="208"/>
      <c r="FDH286" s="208"/>
      <c r="FDI286" s="208"/>
      <c r="FDJ286" s="208"/>
      <c r="FDK286" s="208"/>
      <c r="FDL286" s="208"/>
      <c r="FDM286" s="208"/>
      <c r="FDN286" s="208"/>
      <c r="FDO286" s="208"/>
      <c r="FDP286" s="208"/>
      <c r="FDQ286" s="208"/>
      <c r="FDR286" s="208"/>
      <c r="FDS286" s="208"/>
      <c r="FDT286" s="208"/>
      <c r="FDU286" s="208"/>
      <c r="FDV286" s="208"/>
      <c r="FDW286" s="208"/>
      <c r="FDX286" s="208"/>
      <c r="FDY286" s="208"/>
      <c r="FDZ286" s="208"/>
      <c r="FEA286" s="208"/>
      <c r="FEB286" s="208"/>
      <c r="FEC286" s="208"/>
      <c r="FED286" s="208"/>
      <c r="FEE286" s="208"/>
      <c r="FEF286" s="208"/>
      <c r="FEG286" s="208"/>
      <c r="FEH286" s="208"/>
      <c r="FEI286" s="208"/>
      <c r="FEJ286" s="208"/>
      <c r="FEK286" s="208"/>
      <c r="FEL286" s="208"/>
      <c r="FEM286" s="208"/>
      <c r="FEN286" s="208"/>
      <c r="FEO286" s="208"/>
      <c r="FEP286" s="208"/>
      <c r="FEQ286" s="208"/>
      <c r="FER286" s="208"/>
      <c r="FES286" s="208"/>
      <c r="FET286" s="208"/>
      <c r="FEU286" s="208"/>
      <c r="FEV286" s="208"/>
      <c r="FEW286" s="208"/>
      <c r="FEX286" s="208"/>
      <c r="FEY286" s="208"/>
      <c r="FEZ286" s="208"/>
      <c r="FFA286" s="208"/>
      <c r="FFB286" s="208"/>
      <c r="FFC286" s="208"/>
      <c r="FFD286" s="208"/>
      <c r="FFE286" s="208"/>
      <c r="FFF286" s="208"/>
      <c r="FFG286" s="208"/>
      <c r="FFH286" s="208"/>
      <c r="FFI286" s="208"/>
      <c r="FFJ286" s="208"/>
      <c r="FFK286" s="208"/>
      <c r="FFL286" s="208"/>
      <c r="FFM286" s="208"/>
      <c r="FFN286" s="208"/>
      <c r="FFO286" s="208"/>
      <c r="FFP286" s="208"/>
      <c r="FFQ286" s="208"/>
      <c r="FFR286" s="208"/>
      <c r="FFS286" s="208"/>
      <c r="FFT286" s="208"/>
      <c r="FFU286" s="208"/>
      <c r="FFV286" s="208"/>
      <c r="FFW286" s="208"/>
      <c r="FFX286" s="208"/>
      <c r="FFY286" s="208"/>
      <c r="FFZ286" s="208"/>
      <c r="FGA286" s="208"/>
      <c r="FGB286" s="208"/>
      <c r="FGC286" s="208"/>
      <c r="FGD286" s="208"/>
      <c r="FGE286" s="208"/>
      <c r="FGF286" s="208"/>
      <c r="FGG286" s="208"/>
      <c r="FGH286" s="208"/>
      <c r="FGI286" s="208"/>
      <c r="FGJ286" s="208"/>
      <c r="FGK286" s="208"/>
      <c r="FGL286" s="208"/>
      <c r="FGM286" s="208"/>
      <c r="FGN286" s="208"/>
      <c r="FGO286" s="208"/>
      <c r="FGP286" s="208"/>
      <c r="FGQ286" s="208"/>
      <c r="FGR286" s="208"/>
      <c r="FGS286" s="208"/>
      <c r="FGT286" s="208"/>
      <c r="FGU286" s="208"/>
      <c r="FGV286" s="208"/>
      <c r="FGW286" s="208"/>
      <c r="FGX286" s="208"/>
      <c r="FGY286" s="208"/>
      <c r="FGZ286" s="208"/>
      <c r="FHA286" s="208"/>
      <c r="FHB286" s="208"/>
      <c r="FHC286" s="208"/>
      <c r="FHD286" s="208"/>
      <c r="FHE286" s="208"/>
      <c r="FHF286" s="208"/>
      <c r="FHG286" s="208"/>
      <c r="FHH286" s="208"/>
      <c r="FHI286" s="208"/>
      <c r="FHJ286" s="208"/>
      <c r="FHK286" s="208"/>
      <c r="FHL286" s="208"/>
      <c r="FHM286" s="208"/>
      <c r="FHN286" s="208"/>
      <c r="FHO286" s="208"/>
      <c r="FHP286" s="208"/>
      <c r="FHQ286" s="208"/>
      <c r="FHR286" s="208"/>
      <c r="FHS286" s="208"/>
      <c r="FHT286" s="208"/>
      <c r="FHU286" s="208"/>
      <c r="FHV286" s="208"/>
      <c r="FHW286" s="208"/>
      <c r="FHX286" s="208"/>
      <c r="FHY286" s="208"/>
      <c r="FHZ286" s="208"/>
      <c r="FIA286" s="208"/>
      <c r="FIB286" s="208"/>
      <c r="FIC286" s="208"/>
      <c r="FID286" s="208"/>
      <c r="FIE286" s="208"/>
      <c r="FIF286" s="208"/>
      <c r="FIG286" s="208"/>
      <c r="FIH286" s="208"/>
      <c r="FII286" s="208"/>
      <c r="FIJ286" s="208"/>
      <c r="FIK286" s="208"/>
      <c r="FIL286" s="208"/>
      <c r="FIM286" s="208"/>
      <c r="FIN286" s="208"/>
      <c r="FIO286" s="208"/>
      <c r="FIP286" s="208"/>
      <c r="FIQ286" s="208"/>
      <c r="FIR286" s="208"/>
      <c r="FIS286" s="208"/>
      <c r="FIT286" s="208"/>
      <c r="FIU286" s="208"/>
      <c r="FIV286" s="208"/>
      <c r="FIW286" s="208"/>
      <c r="FIX286" s="208"/>
      <c r="FIY286" s="208"/>
      <c r="FIZ286" s="208"/>
      <c r="FJA286" s="208"/>
      <c r="FJB286" s="208"/>
      <c r="FJC286" s="208"/>
      <c r="FJD286" s="208"/>
      <c r="FJE286" s="208"/>
      <c r="FJF286" s="208"/>
      <c r="FJG286" s="208"/>
      <c r="FJH286" s="208"/>
      <c r="FJI286" s="208"/>
      <c r="FJJ286" s="208"/>
      <c r="FJK286" s="208"/>
      <c r="FJL286" s="208"/>
      <c r="FJM286" s="208"/>
      <c r="FJN286" s="208"/>
      <c r="FJO286" s="208"/>
      <c r="FJP286" s="208"/>
      <c r="FJQ286" s="208"/>
      <c r="FJR286" s="208"/>
      <c r="FJS286" s="208"/>
      <c r="FJT286" s="208"/>
      <c r="FJU286" s="208"/>
      <c r="FJV286" s="208"/>
      <c r="FJW286" s="208"/>
      <c r="FJX286" s="208"/>
      <c r="FJY286" s="208"/>
      <c r="FJZ286" s="208"/>
      <c r="FKA286" s="208"/>
      <c r="FKB286" s="208"/>
      <c r="FKC286" s="208"/>
      <c r="FKD286" s="208"/>
      <c r="FKE286" s="208"/>
      <c r="FKF286" s="208"/>
      <c r="FKG286" s="208"/>
      <c r="FKH286" s="208"/>
      <c r="FKI286" s="208"/>
      <c r="FKJ286" s="208"/>
      <c r="FKK286" s="208"/>
      <c r="FKL286" s="208"/>
      <c r="FKM286" s="208"/>
      <c r="FKN286" s="208"/>
      <c r="FKO286" s="208"/>
      <c r="FKP286" s="208"/>
      <c r="FKQ286" s="208"/>
      <c r="FKR286" s="208"/>
      <c r="FKS286" s="208"/>
      <c r="FKT286" s="208"/>
      <c r="FKU286" s="208"/>
      <c r="FKV286" s="208"/>
      <c r="FKW286" s="208"/>
      <c r="FKX286" s="208"/>
      <c r="FKY286" s="208"/>
      <c r="FKZ286" s="208"/>
      <c r="FLA286" s="208"/>
      <c r="FLB286" s="208"/>
      <c r="FLC286" s="208"/>
      <c r="FLD286" s="208"/>
      <c r="FLE286" s="208"/>
      <c r="FLF286" s="208"/>
      <c r="FLG286" s="208"/>
      <c r="FLH286" s="208"/>
      <c r="FLI286" s="208"/>
      <c r="FLJ286" s="208"/>
      <c r="FLK286" s="208"/>
      <c r="FLL286" s="208"/>
      <c r="FLM286" s="208"/>
      <c r="FLN286" s="208"/>
      <c r="FLO286" s="208"/>
      <c r="FLP286" s="208"/>
      <c r="FLQ286" s="208"/>
      <c r="FLR286" s="208"/>
      <c r="FLS286" s="208"/>
      <c r="FLT286" s="208"/>
      <c r="FLU286" s="208"/>
      <c r="FLV286" s="208"/>
      <c r="FLW286" s="208"/>
      <c r="FLX286" s="208"/>
      <c r="FLY286" s="208"/>
      <c r="FLZ286" s="208"/>
      <c r="FMA286" s="208"/>
      <c r="FMB286" s="208"/>
      <c r="FMC286" s="208"/>
      <c r="FMD286" s="208"/>
      <c r="FME286" s="208"/>
      <c r="FMF286" s="208"/>
      <c r="FMG286" s="208"/>
      <c r="FMH286" s="208"/>
      <c r="FMI286" s="208"/>
      <c r="FMJ286" s="208"/>
      <c r="FMK286" s="208"/>
      <c r="FML286" s="208"/>
      <c r="FMM286" s="208"/>
      <c r="FMN286" s="208"/>
      <c r="FMO286" s="208"/>
      <c r="FMP286" s="208"/>
      <c r="FMQ286" s="208"/>
      <c r="FMR286" s="208"/>
      <c r="FMS286" s="208"/>
      <c r="FMT286" s="208"/>
      <c r="FMU286" s="208"/>
      <c r="FMV286" s="208"/>
      <c r="FMW286" s="208"/>
      <c r="FMX286" s="208"/>
      <c r="FMY286" s="208"/>
      <c r="FMZ286" s="208"/>
      <c r="FNA286" s="208"/>
      <c r="FNB286" s="208"/>
      <c r="FNC286" s="208"/>
      <c r="FND286" s="208"/>
      <c r="FNE286" s="208"/>
      <c r="FNF286" s="208"/>
      <c r="FNG286" s="208"/>
      <c r="FNH286" s="208"/>
      <c r="FNI286" s="208"/>
      <c r="FNJ286" s="208"/>
      <c r="FNK286" s="208"/>
      <c r="FNL286" s="208"/>
      <c r="FNM286" s="208"/>
      <c r="FNN286" s="208"/>
      <c r="FNO286" s="208"/>
      <c r="FNP286" s="208"/>
      <c r="FNQ286" s="208"/>
      <c r="FNR286" s="208"/>
      <c r="FNS286" s="208"/>
      <c r="FNT286" s="208"/>
      <c r="FNU286" s="208"/>
      <c r="FNV286" s="208"/>
      <c r="FNW286" s="208"/>
      <c r="FNX286" s="208"/>
      <c r="FNY286" s="208"/>
      <c r="FNZ286" s="208"/>
      <c r="FOA286" s="208"/>
      <c r="FOB286" s="208"/>
      <c r="FOC286" s="208"/>
      <c r="FOD286" s="208"/>
      <c r="FOE286" s="208"/>
      <c r="FOF286" s="208"/>
      <c r="FOG286" s="208"/>
      <c r="FOH286" s="208"/>
      <c r="FOI286" s="208"/>
      <c r="FOJ286" s="208"/>
      <c r="FOK286" s="208"/>
      <c r="FOL286" s="208"/>
      <c r="FOM286" s="208"/>
      <c r="FON286" s="208"/>
      <c r="FOO286" s="208"/>
      <c r="FOP286" s="208"/>
      <c r="FOQ286" s="208"/>
      <c r="FOR286" s="208"/>
      <c r="FOS286" s="208"/>
      <c r="FOT286" s="208"/>
      <c r="FOU286" s="208"/>
      <c r="FOV286" s="208"/>
      <c r="FOW286" s="208"/>
      <c r="FOX286" s="208"/>
      <c r="FOY286" s="208"/>
      <c r="FOZ286" s="208"/>
      <c r="FPA286" s="208"/>
      <c r="FPB286" s="208"/>
      <c r="FPC286" s="208"/>
      <c r="FPD286" s="208"/>
      <c r="FPE286" s="208"/>
      <c r="FPF286" s="208"/>
      <c r="FPG286" s="208"/>
      <c r="FPH286" s="208"/>
      <c r="FPI286" s="208"/>
      <c r="FPJ286" s="208"/>
      <c r="FPK286" s="208"/>
      <c r="FPL286" s="208"/>
      <c r="FPM286" s="208"/>
      <c r="FPN286" s="208"/>
      <c r="FPO286" s="208"/>
      <c r="FPP286" s="208"/>
      <c r="FPQ286" s="208"/>
      <c r="FPR286" s="208"/>
      <c r="FPS286" s="208"/>
      <c r="FPT286" s="208"/>
      <c r="FPU286" s="208"/>
      <c r="FPV286" s="208"/>
      <c r="FPW286" s="208"/>
      <c r="FPX286" s="208"/>
      <c r="FPY286" s="208"/>
      <c r="FPZ286" s="208"/>
      <c r="FQA286" s="208"/>
      <c r="FQB286" s="208"/>
      <c r="FQC286" s="208"/>
      <c r="FQD286" s="208"/>
      <c r="FQE286" s="208"/>
      <c r="FQF286" s="208"/>
      <c r="FQG286" s="208"/>
      <c r="FQH286" s="208"/>
      <c r="FQI286" s="208"/>
      <c r="FQJ286" s="208"/>
      <c r="FQK286" s="208"/>
      <c r="FQL286" s="208"/>
      <c r="FQM286" s="208"/>
      <c r="FQN286" s="208"/>
      <c r="FQO286" s="208"/>
      <c r="FQP286" s="208"/>
      <c r="FQQ286" s="208"/>
      <c r="FQR286" s="208"/>
      <c r="FQS286" s="208"/>
      <c r="FQT286" s="208"/>
      <c r="FQU286" s="208"/>
      <c r="FQV286" s="208"/>
      <c r="FQW286" s="208"/>
      <c r="FQX286" s="208"/>
      <c r="FQY286" s="208"/>
      <c r="FQZ286" s="208"/>
      <c r="FRA286" s="208"/>
      <c r="FRB286" s="208"/>
      <c r="FRC286" s="208"/>
      <c r="FRD286" s="208"/>
      <c r="FRE286" s="208"/>
      <c r="FRF286" s="208"/>
      <c r="FRG286" s="208"/>
      <c r="FRH286" s="208"/>
      <c r="FRI286" s="208"/>
      <c r="FRJ286" s="208"/>
      <c r="FRK286" s="208"/>
      <c r="FRL286" s="208"/>
      <c r="FRM286" s="208"/>
      <c r="FRN286" s="208"/>
      <c r="FRO286" s="208"/>
      <c r="FRP286" s="208"/>
      <c r="FRQ286" s="208"/>
      <c r="FRR286" s="208"/>
      <c r="FRS286" s="208"/>
      <c r="FRT286" s="208"/>
      <c r="FRU286" s="208"/>
      <c r="FRV286" s="208"/>
      <c r="FRW286" s="208"/>
      <c r="FRX286" s="208"/>
      <c r="FRY286" s="208"/>
      <c r="FRZ286" s="208"/>
      <c r="FSA286" s="208"/>
      <c r="FSB286" s="208"/>
      <c r="FSC286" s="208"/>
      <c r="FSD286" s="208"/>
      <c r="FSE286" s="208"/>
      <c r="FSF286" s="208"/>
      <c r="FSG286" s="208"/>
      <c r="FSH286" s="208"/>
      <c r="FSI286" s="208"/>
      <c r="FSJ286" s="208"/>
      <c r="FSK286" s="208"/>
      <c r="FSL286" s="208"/>
      <c r="FSM286" s="208"/>
      <c r="FSN286" s="208"/>
      <c r="FSO286" s="208"/>
      <c r="FSP286" s="208"/>
      <c r="FSQ286" s="208"/>
      <c r="FSR286" s="208"/>
      <c r="FSS286" s="208"/>
      <c r="FST286" s="208"/>
      <c r="FSU286" s="208"/>
      <c r="FSV286" s="208"/>
      <c r="FSW286" s="208"/>
      <c r="FSX286" s="208"/>
      <c r="FSY286" s="208"/>
      <c r="FSZ286" s="208"/>
      <c r="FTA286" s="208"/>
      <c r="FTB286" s="208"/>
      <c r="FTC286" s="208"/>
      <c r="FTD286" s="208"/>
      <c r="FTE286" s="208"/>
      <c r="FTF286" s="208"/>
      <c r="FTG286" s="208"/>
      <c r="FTH286" s="208"/>
      <c r="FTI286" s="208"/>
      <c r="FTJ286" s="208"/>
      <c r="FTK286" s="208"/>
      <c r="FTL286" s="208"/>
      <c r="FTM286" s="208"/>
      <c r="FTN286" s="208"/>
      <c r="FTO286" s="208"/>
      <c r="FTP286" s="208"/>
      <c r="FTQ286" s="208"/>
      <c r="FTR286" s="208"/>
      <c r="FTS286" s="208"/>
      <c r="FTT286" s="208"/>
      <c r="FTU286" s="208"/>
      <c r="FTV286" s="208"/>
      <c r="FTW286" s="208"/>
      <c r="FTX286" s="208"/>
      <c r="FTY286" s="208"/>
      <c r="FTZ286" s="208"/>
      <c r="FUA286" s="208"/>
      <c r="FUB286" s="208"/>
      <c r="FUC286" s="208"/>
      <c r="FUD286" s="208"/>
      <c r="FUE286" s="208"/>
      <c r="FUF286" s="208"/>
      <c r="FUG286" s="208"/>
      <c r="FUH286" s="208"/>
      <c r="FUI286" s="208"/>
      <c r="FUJ286" s="208"/>
      <c r="FUK286" s="208"/>
      <c r="FUL286" s="208"/>
      <c r="FUM286" s="208"/>
      <c r="FUN286" s="208"/>
      <c r="FUO286" s="208"/>
      <c r="FUP286" s="208"/>
      <c r="FUQ286" s="208"/>
      <c r="FUR286" s="208"/>
      <c r="FUS286" s="208"/>
      <c r="FUT286" s="208"/>
      <c r="FUU286" s="208"/>
      <c r="FUV286" s="208"/>
      <c r="FUW286" s="208"/>
      <c r="FUX286" s="208"/>
      <c r="FUY286" s="208"/>
      <c r="FUZ286" s="208"/>
      <c r="FVA286" s="208"/>
      <c r="FVB286" s="208"/>
      <c r="FVC286" s="208"/>
      <c r="FVD286" s="208"/>
      <c r="FVE286" s="208"/>
      <c r="FVF286" s="208"/>
      <c r="FVG286" s="208"/>
      <c r="FVH286" s="208"/>
      <c r="FVI286" s="208"/>
      <c r="FVJ286" s="208"/>
      <c r="FVK286" s="208"/>
      <c r="FVL286" s="208"/>
      <c r="FVM286" s="208"/>
      <c r="FVN286" s="208"/>
      <c r="FVO286" s="208"/>
      <c r="FVP286" s="208"/>
      <c r="FVQ286" s="208"/>
      <c r="FVR286" s="208"/>
      <c r="FVS286" s="208"/>
      <c r="FVT286" s="208"/>
      <c r="FVU286" s="208"/>
      <c r="FVV286" s="208"/>
      <c r="FVW286" s="208"/>
      <c r="FVX286" s="208"/>
      <c r="FVY286" s="208"/>
      <c r="FVZ286" s="208"/>
      <c r="FWA286" s="208"/>
      <c r="FWB286" s="208"/>
      <c r="FWC286" s="208"/>
      <c r="FWD286" s="208"/>
      <c r="FWE286" s="208"/>
      <c r="FWF286" s="208"/>
      <c r="FWG286" s="208"/>
      <c r="FWH286" s="208"/>
      <c r="FWI286" s="208"/>
      <c r="FWJ286" s="208"/>
      <c r="FWK286" s="208"/>
      <c r="FWL286" s="208"/>
      <c r="FWM286" s="208"/>
      <c r="FWN286" s="208"/>
      <c r="FWO286" s="208"/>
      <c r="FWP286" s="208"/>
      <c r="FWQ286" s="208"/>
      <c r="FWR286" s="208"/>
      <c r="FWS286" s="208"/>
      <c r="FWT286" s="208"/>
      <c r="FWU286" s="208"/>
      <c r="FWV286" s="208"/>
      <c r="FWW286" s="208"/>
      <c r="FWX286" s="208"/>
      <c r="FWY286" s="208"/>
      <c r="FWZ286" s="208"/>
      <c r="FXA286" s="208"/>
      <c r="FXB286" s="208"/>
      <c r="FXC286" s="208"/>
      <c r="FXD286" s="208"/>
      <c r="FXE286" s="208"/>
      <c r="FXF286" s="208"/>
      <c r="FXG286" s="208"/>
      <c r="FXH286" s="208"/>
      <c r="FXI286" s="208"/>
      <c r="FXJ286" s="208"/>
      <c r="FXK286" s="208"/>
      <c r="FXL286" s="208"/>
      <c r="FXM286" s="208"/>
      <c r="FXN286" s="208"/>
      <c r="FXO286" s="208"/>
      <c r="FXP286" s="208"/>
      <c r="FXQ286" s="208"/>
      <c r="FXR286" s="208"/>
      <c r="FXS286" s="208"/>
      <c r="FXT286" s="208"/>
      <c r="FXU286" s="208"/>
      <c r="FXV286" s="208"/>
      <c r="FXW286" s="208"/>
      <c r="FXX286" s="208"/>
      <c r="FXY286" s="208"/>
      <c r="FXZ286" s="208"/>
      <c r="FYA286" s="208"/>
      <c r="FYB286" s="208"/>
      <c r="FYC286" s="208"/>
      <c r="FYD286" s="208"/>
      <c r="FYE286" s="208"/>
      <c r="FYF286" s="208"/>
      <c r="FYG286" s="208"/>
      <c r="FYH286" s="208"/>
      <c r="FYI286" s="208"/>
      <c r="FYJ286" s="208"/>
      <c r="FYK286" s="208"/>
      <c r="FYL286" s="208"/>
      <c r="FYM286" s="208"/>
      <c r="FYN286" s="208"/>
      <c r="FYO286" s="208"/>
      <c r="FYP286" s="208"/>
      <c r="FYQ286" s="208"/>
      <c r="FYR286" s="208"/>
      <c r="FYS286" s="208"/>
      <c r="FYT286" s="208"/>
      <c r="FYU286" s="208"/>
      <c r="FYV286" s="208"/>
      <c r="FYW286" s="208"/>
      <c r="FYX286" s="208"/>
      <c r="FYY286" s="208"/>
      <c r="FYZ286" s="208"/>
      <c r="FZA286" s="208"/>
      <c r="FZB286" s="208"/>
      <c r="FZC286" s="208"/>
      <c r="FZD286" s="208"/>
      <c r="FZE286" s="208"/>
      <c r="FZF286" s="208"/>
      <c r="FZG286" s="208"/>
      <c r="FZH286" s="208"/>
      <c r="FZI286" s="208"/>
      <c r="FZJ286" s="208"/>
      <c r="FZK286" s="208"/>
      <c r="FZL286" s="208"/>
      <c r="FZM286" s="208"/>
      <c r="FZN286" s="208"/>
      <c r="FZO286" s="208"/>
      <c r="FZP286" s="208"/>
      <c r="FZQ286" s="208"/>
      <c r="FZR286" s="208"/>
      <c r="FZS286" s="208"/>
      <c r="FZT286" s="208"/>
      <c r="FZU286" s="208"/>
      <c r="FZV286" s="208"/>
      <c r="FZW286" s="208"/>
      <c r="FZX286" s="208"/>
      <c r="FZY286" s="208"/>
      <c r="FZZ286" s="208"/>
      <c r="GAA286" s="208"/>
      <c r="GAB286" s="208"/>
      <c r="GAC286" s="208"/>
      <c r="GAD286" s="208"/>
      <c r="GAE286" s="208"/>
      <c r="GAF286" s="208"/>
      <c r="GAG286" s="208"/>
      <c r="GAH286" s="208"/>
      <c r="GAI286" s="208"/>
      <c r="GAJ286" s="208"/>
      <c r="GAK286" s="208"/>
      <c r="GAL286" s="208"/>
      <c r="GAM286" s="208"/>
      <c r="GAN286" s="208"/>
      <c r="GAO286" s="208"/>
      <c r="GAP286" s="208"/>
      <c r="GAQ286" s="208"/>
      <c r="GAR286" s="208"/>
      <c r="GAS286" s="208"/>
      <c r="GAT286" s="208"/>
      <c r="GAU286" s="208"/>
      <c r="GAV286" s="208"/>
      <c r="GAW286" s="208"/>
      <c r="GAX286" s="208"/>
      <c r="GAY286" s="208"/>
      <c r="GAZ286" s="208"/>
      <c r="GBA286" s="208"/>
      <c r="GBB286" s="208"/>
      <c r="GBC286" s="208"/>
      <c r="GBD286" s="208"/>
      <c r="GBE286" s="208"/>
      <c r="GBF286" s="208"/>
      <c r="GBG286" s="208"/>
      <c r="GBH286" s="208"/>
      <c r="GBI286" s="208"/>
      <c r="GBJ286" s="208"/>
      <c r="GBK286" s="208"/>
      <c r="GBL286" s="208"/>
      <c r="GBM286" s="208"/>
      <c r="GBN286" s="208"/>
      <c r="GBO286" s="208"/>
      <c r="GBP286" s="208"/>
      <c r="GBQ286" s="208"/>
      <c r="GBR286" s="208"/>
      <c r="GBS286" s="208"/>
      <c r="GBT286" s="208"/>
      <c r="GBU286" s="208"/>
      <c r="GBV286" s="208"/>
      <c r="GBW286" s="208"/>
      <c r="GBX286" s="208"/>
      <c r="GBY286" s="208"/>
      <c r="GBZ286" s="208"/>
      <c r="GCA286" s="208"/>
      <c r="GCB286" s="208"/>
      <c r="GCC286" s="208"/>
      <c r="GCD286" s="208"/>
      <c r="GCE286" s="208"/>
      <c r="GCF286" s="208"/>
      <c r="GCG286" s="208"/>
      <c r="GCH286" s="208"/>
      <c r="GCI286" s="208"/>
      <c r="GCJ286" s="208"/>
      <c r="GCK286" s="208"/>
      <c r="GCL286" s="208"/>
      <c r="GCM286" s="208"/>
      <c r="GCN286" s="208"/>
      <c r="GCO286" s="208"/>
      <c r="GCP286" s="208"/>
      <c r="GCQ286" s="208"/>
      <c r="GCR286" s="208"/>
      <c r="GCS286" s="208"/>
      <c r="GCT286" s="208"/>
      <c r="GCU286" s="208"/>
      <c r="GCV286" s="208"/>
      <c r="GCW286" s="208"/>
      <c r="GCX286" s="208"/>
      <c r="GCY286" s="208"/>
      <c r="GCZ286" s="208"/>
      <c r="GDA286" s="208"/>
      <c r="GDB286" s="208"/>
      <c r="GDC286" s="208"/>
      <c r="GDD286" s="208"/>
      <c r="GDE286" s="208"/>
      <c r="GDF286" s="208"/>
      <c r="GDG286" s="208"/>
      <c r="GDH286" s="208"/>
      <c r="GDI286" s="208"/>
      <c r="GDJ286" s="208"/>
      <c r="GDK286" s="208"/>
      <c r="GDL286" s="208"/>
      <c r="GDM286" s="208"/>
      <c r="GDN286" s="208"/>
      <c r="GDO286" s="208"/>
      <c r="GDP286" s="208"/>
      <c r="GDQ286" s="208"/>
      <c r="GDR286" s="208"/>
      <c r="GDS286" s="208"/>
      <c r="GDT286" s="208"/>
      <c r="GDU286" s="208"/>
      <c r="GDV286" s="208"/>
      <c r="GDW286" s="208"/>
      <c r="GDX286" s="208"/>
      <c r="GDY286" s="208"/>
      <c r="GDZ286" s="208"/>
      <c r="GEA286" s="208"/>
      <c r="GEB286" s="208"/>
      <c r="GEC286" s="208"/>
      <c r="GED286" s="208"/>
      <c r="GEE286" s="208"/>
      <c r="GEF286" s="208"/>
      <c r="GEG286" s="208"/>
      <c r="GEH286" s="208"/>
      <c r="GEI286" s="208"/>
      <c r="GEJ286" s="208"/>
      <c r="GEK286" s="208"/>
      <c r="GEL286" s="208"/>
      <c r="GEM286" s="208"/>
      <c r="GEN286" s="208"/>
      <c r="GEO286" s="208"/>
      <c r="GEP286" s="208"/>
      <c r="GEQ286" s="208"/>
      <c r="GER286" s="208"/>
      <c r="GES286" s="208"/>
      <c r="GET286" s="208"/>
      <c r="GEU286" s="208"/>
      <c r="GEV286" s="208"/>
      <c r="GEW286" s="208"/>
      <c r="GEX286" s="208"/>
      <c r="GEY286" s="208"/>
      <c r="GEZ286" s="208"/>
      <c r="GFA286" s="208"/>
      <c r="GFB286" s="208"/>
      <c r="GFC286" s="208"/>
      <c r="GFD286" s="208"/>
      <c r="GFE286" s="208"/>
      <c r="GFF286" s="208"/>
      <c r="GFG286" s="208"/>
      <c r="GFH286" s="208"/>
      <c r="GFI286" s="208"/>
      <c r="GFJ286" s="208"/>
      <c r="GFK286" s="208"/>
      <c r="GFL286" s="208"/>
      <c r="GFM286" s="208"/>
      <c r="GFN286" s="208"/>
      <c r="GFO286" s="208"/>
      <c r="GFP286" s="208"/>
      <c r="GFQ286" s="208"/>
      <c r="GFR286" s="208"/>
      <c r="GFS286" s="208"/>
      <c r="GFT286" s="208"/>
      <c r="GFU286" s="208"/>
      <c r="GFV286" s="208"/>
      <c r="GFW286" s="208"/>
      <c r="GFX286" s="208"/>
      <c r="GFY286" s="208"/>
      <c r="GFZ286" s="208"/>
      <c r="GGA286" s="208"/>
      <c r="GGB286" s="208"/>
      <c r="GGC286" s="208"/>
      <c r="GGD286" s="208"/>
      <c r="GGE286" s="208"/>
      <c r="GGF286" s="208"/>
      <c r="GGG286" s="208"/>
      <c r="GGH286" s="208"/>
      <c r="GGI286" s="208"/>
      <c r="GGJ286" s="208"/>
      <c r="GGK286" s="208"/>
      <c r="GGL286" s="208"/>
      <c r="GGM286" s="208"/>
      <c r="GGN286" s="208"/>
      <c r="GGO286" s="208"/>
      <c r="GGP286" s="208"/>
      <c r="GGQ286" s="208"/>
      <c r="GGR286" s="208"/>
      <c r="GGS286" s="208"/>
      <c r="GGT286" s="208"/>
      <c r="GGU286" s="208"/>
      <c r="GGV286" s="208"/>
      <c r="GGW286" s="208"/>
      <c r="GGX286" s="208"/>
      <c r="GGY286" s="208"/>
      <c r="GGZ286" s="208"/>
      <c r="GHA286" s="208"/>
      <c r="GHB286" s="208"/>
      <c r="GHC286" s="208"/>
      <c r="GHD286" s="208"/>
      <c r="GHE286" s="208"/>
      <c r="GHF286" s="208"/>
      <c r="GHG286" s="208"/>
      <c r="GHH286" s="208"/>
      <c r="GHI286" s="208"/>
      <c r="GHJ286" s="208"/>
      <c r="GHK286" s="208"/>
      <c r="GHL286" s="208"/>
      <c r="GHM286" s="208"/>
      <c r="GHN286" s="208"/>
      <c r="GHO286" s="208"/>
      <c r="GHP286" s="208"/>
      <c r="GHQ286" s="208"/>
      <c r="GHR286" s="208"/>
      <c r="GHS286" s="208"/>
      <c r="GHT286" s="208"/>
      <c r="GHU286" s="208"/>
      <c r="GHV286" s="208"/>
      <c r="GHW286" s="208"/>
      <c r="GHX286" s="208"/>
      <c r="GHY286" s="208"/>
      <c r="GHZ286" s="208"/>
      <c r="GIA286" s="208"/>
      <c r="GIB286" s="208"/>
      <c r="GIC286" s="208"/>
      <c r="GID286" s="208"/>
      <c r="GIE286" s="208"/>
      <c r="GIF286" s="208"/>
      <c r="GIG286" s="208"/>
      <c r="GIH286" s="208"/>
      <c r="GII286" s="208"/>
      <c r="GIJ286" s="208"/>
      <c r="GIK286" s="208"/>
      <c r="GIL286" s="208"/>
      <c r="GIM286" s="208"/>
      <c r="GIN286" s="208"/>
      <c r="GIO286" s="208"/>
      <c r="GIP286" s="208"/>
      <c r="GIQ286" s="208"/>
      <c r="GIR286" s="208"/>
      <c r="GIS286" s="208"/>
      <c r="GIT286" s="208"/>
      <c r="GIU286" s="208"/>
      <c r="GIV286" s="208"/>
      <c r="GIW286" s="208"/>
      <c r="GIX286" s="208"/>
      <c r="GIY286" s="208"/>
      <c r="GIZ286" s="208"/>
      <c r="GJA286" s="208"/>
      <c r="GJB286" s="208"/>
      <c r="GJC286" s="208"/>
      <c r="GJD286" s="208"/>
      <c r="GJE286" s="208"/>
      <c r="GJF286" s="208"/>
      <c r="GJG286" s="208"/>
      <c r="GJH286" s="208"/>
      <c r="GJI286" s="208"/>
      <c r="GJJ286" s="208"/>
      <c r="GJK286" s="208"/>
      <c r="GJL286" s="208"/>
      <c r="GJM286" s="208"/>
      <c r="GJN286" s="208"/>
      <c r="GJO286" s="208"/>
      <c r="GJP286" s="208"/>
      <c r="GJQ286" s="208"/>
      <c r="GJR286" s="208"/>
      <c r="GJS286" s="208"/>
      <c r="GJT286" s="208"/>
      <c r="GJU286" s="208"/>
      <c r="GJV286" s="208"/>
      <c r="GJW286" s="208"/>
      <c r="GJX286" s="208"/>
      <c r="GJY286" s="208"/>
      <c r="GJZ286" s="208"/>
      <c r="GKA286" s="208"/>
      <c r="GKB286" s="208"/>
      <c r="GKC286" s="208"/>
      <c r="GKD286" s="208"/>
      <c r="GKE286" s="208"/>
      <c r="GKF286" s="208"/>
      <c r="GKG286" s="208"/>
      <c r="GKH286" s="208"/>
      <c r="GKI286" s="208"/>
      <c r="GKJ286" s="208"/>
      <c r="GKK286" s="208"/>
      <c r="GKL286" s="208"/>
      <c r="GKM286" s="208"/>
      <c r="GKN286" s="208"/>
      <c r="GKO286" s="208"/>
      <c r="GKP286" s="208"/>
      <c r="GKQ286" s="208"/>
      <c r="GKR286" s="208"/>
      <c r="GKS286" s="208"/>
      <c r="GKT286" s="208"/>
      <c r="GKU286" s="208"/>
      <c r="GKV286" s="208"/>
      <c r="GKW286" s="208"/>
      <c r="GKX286" s="208"/>
      <c r="GKY286" s="208"/>
      <c r="GKZ286" s="208"/>
      <c r="GLA286" s="208"/>
      <c r="GLB286" s="208"/>
      <c r="GLC286" s="208"/>
      <c r="GLD286" s="208"/>
      <c r="GLE286" s="208"/>
      <c r="GLF286" s="208"/>
      <c r="GLG286" s="208"/>
      <c r="GLH286" s="208"/>
      <c r="GLI286" s="208"/>
      <c r="GLJ286" s="208"/>
      <c r="GLK286" s="208"/>
      <c r="GLL286" s="208"/>
      <c r="GLM286" s="208"/>
      <c r="GLN286" s="208"/>
      <c r="GLO286" s="208"/>
      <c r="GLP286" s="208"/>
      <c r="GLQ286" s="208"/>
      <c r="GLR286" s="208"/>
      <c r="GLS286" s="208"/>
      <c r="GLT286" s="208"/>
      <c r="GLU286" s="208"/>
      <c r="GLV286" s="208"/>
      <c r="GLW286" s="208"/>
      <c r="GLX286" s="208"/>
      <c r="GLY286" s="208"/>
      <c r="GLZ286" s="208"/>
      <c r="GMA286" s="208"/>
      <c r="GMB286" s="208"/>
      <c r="GMC286" s="208"/>
      <c r="GMD286" s="208"/>
      <c r="GME286" s="208"/>
      <c r="GMF286" s="208"/>
      <c r="GMG286" s="208"/>
      <c r="GMH286" s="208"/>
      <c r="GMI286" s="208"/>
      <c r="GMJ286" s="208"/>
      <c r="GMK286" s="208"/>
      <c r="GML286" s="208"/>
      <c r="GMM286" s="208"/>
      <c r="GMN286" s="208"/>
      <c r="GMO286" s="208"/>
      <c r="GMP286" s="208"/>
      <c r="GMQ286" s="208"/>
      <c r="GMR286" s="208"/>
      <c r="GMS286" s="208"/>
      <c r="GMT286" s="208"/>
      <c r="GMU286" s="208"/>
      <c r="GMV286" s="208"/>
      <c r="GMW286" s="208"/>
      <c r="GMX286" s="208"/>
      <c r="GMY286" s="208"/>
      <c r="GMZ286" s="208"/>
      <c r="GNA286" s="208"/>
      <c r="GNB286" s="208"/>
      <c r="GNC286" s="208"/>
      <c r="GND286" s="208"/>
      <c r="GNE286" s="208"/>
      <c r="GNF286" s="208"/>
      <c r="GNG286" s="208"/>
      <c r="GNH286" s="208"/>
      <c r="GNI286" s="208"/>
      <c r="GNJ286" s="208"/>
      <c r="GNK286" s="208"/>
      <c r="GNL286" s="208"/>
      <c r="GNM286" s="208"/>
      <c r="GNN286" s="208"/>
      <c r="GNO286" s="208"/>
      <c r="GNP286" s="208"/>
      <c r="GNQ286" s="208"/>
      <c r="GNR286" s="208"/>
      <c r="GNS286" s="208"/>
      <c r="GNT286" s="208"/>
      <c r="GNU286" s="208"/>
      <c r="GNV286" s="208"/>
      <c r="GNW286" s="208"/>
      <c r="GNX286" s="208"/>
      <c r="GNY286" s="208"/>
      <c r="GNZ286" s="208"/>
      <c r="GOA286" s="208"/>
      <c r="GOB286" s="208"/>
      <c r="GOC286" s="208"/>
      <c r="GOD286" s="208"/>
      <c r="GOE286" s="208"/>
      <c r="GOF286" s="208"/>
      <c r="GOG286" s="208"/>
      <c r="GOH286" s="208"/>
      <c r="GOI286" s="208"/>
      <c r="GOJ286" s="208"/>
      <c r="GOK286" s="208"/>
      <c r="GOL286" s="208"/>
      <c r="GOM286" s="208"/>
      <c r="GON286" s="208"/>
      <c r="GOO286" s="208"/>
      <c r="GOP286" s="208"/>
      <c r="GOQ286" s="208"/>
      <c r="GOR286" s="208"/>
      <c r="GOS286" s="208"/>
      <c r="GOT286" s="208"/>
      <c r="GOU286" s="208"/>
      <c r="GOV286" s="208"/>
      <c r="GOW286" s="208"/>
      <c r="GOX286" s="208"/>
      <c r="GOY286" s="208"/>
      <c r="GOZ286" s="208"/>
      <c r="GPA286" s="208"/>
      <c r="GPB286" s="208"/>
      <c r="GPC286" s="208"/>
      <c r="GPD286" s="208"/>
      <c r="GPE286" s="208"/>
      <c r="GPF286" s="208"/>
      <c r="GPG286" s="208"/>
      <c r="GPH286" s="208"/>
      <c r="GPI286" s="208"/>
      <c r="GPJ286" s="208"/>
      <c r="GPK286" s="208"/>
      <c r="GPL286" s="208"/>
      <c r="GPM286" s="208"/>
      <c r="GPN286" s="208"/>
      <c r="GPO286" s="208"/>
      <c r="GPP286" s="208"/>
      <c r="GPQ286" s="208"/>
      <c r="GPR286" s="208"/>
      <c r="GPS286" s="208"/>
      <c r="GPT286" s="208"/>
      <c r="GPU286" s="208"/>
      <c r="GPV286" s="208"/>
      <c r="GPW286" s="208"/>
      <c r="GPX286" s="208"/>
      <c r="GPY286" s="208"/>
      <c r="GPZ286" s="208"/>
      <c r="GQA286" s="208"/>
      <c r="GQB286" s="208"/>
      <c r="GQC286" s="208"/>
      <c r="GQD286" s="208"/>
      <c r="GQE286" s="208"/>
      <c r="GQF286" s="208"/>
      <c r="GQG286" s="208"/>
      <c r="GQH286" s="208"/>
      <c r="GQI286" s="208"/>
      <c r="GQJ286" s="208"/>
      <c r="GQK286" s="208"/>
      <c r="GQL286" s="208"/>
      <c r="GQM286" s="208"/>
      <c r="GQN286" s="208"/>
      <c r="GQO286" s="208"/>
      <c r="GQP286" s="208"/>
      <c r="GQQ286" s="208"/>
      <c r="GQR286" s="208"/>
      <c r="GQS286" s="208"/>
      <c r="GQT286" s="208"/>
      <c r="GQU286" s="208"/>
      <c r="GQV286" s="208"/>
      <c r="GQW286" s="208"/>
      <c r="GQX286" s="208"/>
      <c r="GQY286" s="208"/>
      <c r="GQZ286" s="208"/>
      <c r="GRA286" s="208"/>
      <c r="GRB286" s="208"/>
      <c r="GRC286" s="208"/>
      <c r="GRD286" s="208"/>
      <c r="GRE286" s="208"/>
      <c r="GRF286" s="208"/>
      <c r="GRG286" s="208"/>
      <c r="GRH286" s="208"/>
      <c r="GRI286" s="208"/>
      <c r="GRJ286" s="208"/>
      <c r="GRK286" s="208"/>
      <c r="GRL286" s="208"/>
      <c r="GRM286" s="208"/>
      <c r="GRN286" s="208"/>
      <c r="GRO286" s="208"/>
      <c r="GRP286" s="208"/>
      <c r="GRQ286" s="208"/>
      <c r="GRR286" s="208"/>
      <c r="GRS286" s="208"/>
      <c r="GRT286" s="208"/>
      <c r="GRU286" s="208"/>
      <c r="GRV286" s="208"/>
      <c r="GRW286" s="208"/>
      <c r="GRX286" s="208"/>
      <c r="GRY286" s="208"/>
      <c r="GRZ286" s="208"/>
      <c r="GSA286" s="208"/>
      <c r="GSB286" s="208"/>
      <c r="GSC286" s="208"/>
      <c r="GSD286" s="208"/>
      <c r="GSE286" s="208"/>
      <c r="GSF286" s="208"/>
      <c r="GSG286" s="208"/>
      <c r="GSH286" s="208"/>
      <c r="GSI286" s="208"/>
      <c r="GSJ286" s="208"/>
      <c r="GSK286" s="208"/>
      <c r="GSL286" s="208"/>
      <c r="GSM286" s="208"/>
      <c r="GSN286" s="208"/>
      <c r="GSO286" s="208"/>
      <c r="GSP286" s="208"/>
      <c r="GSQ286" s="208"/>
      <c r="GSR286" s="208"/>
      <c r="GSS286" s="208"/>
      <c r="GST286" s="208"/>
      <c r="GSU286" s="208"/>
      <c r="GSV286" s="208"/>
      <c r="GSW286" s="208"/>
      <c r="GSX286" s="208"/>
      <c r="GSY286" s="208"/>
      <c r="GSZ286" s="208"/>
      <c r="GTA286" s="208"/>
      <c r="GTB286" s="208"/>
      <c r="GTC286" s="208"/>
      <c r="GTD286" s="208"/>
      <c r="GTE286" s="208"/>
      <c r="GTF286" s="208"/>
      <c r="GTG286" s="208"/>
      <c r="GTH286" s="208"/>
      <c r="GTI286" s="208"/>
      <c r="GTJ286" s="208"/>
      <c r="GTK286" s="208"/>
      <c r="GTL286" s="208"/>
      <c r="GTM286" s="208"/>
      <c r="GTN286" s="208"/>
      <c r="GTO286" s="208"/>
      <c r="GTP286" s="208"/>
      <c r="GTQ286" s="208"/>
      <c r="GTR286" s="208"/>
      <c r="GTS286" s="208"/>
      <c r="GTT286" s="208"/>
      <c r="GTU286" s="208"/>
      <c r="GTV286" s="208"/>
      <c r="GTW286" s="208"/>
      <c r="GTX286" s="208"/>
      <c r="GTY286" s="208"/>
      <c r="GTZ286" s="208"/>
      <c r="GUA286" s="208"/>
      <c r="GUB286" s="208"/>
      <c r="GUC286" s="208"/>
      <c r="GUD286" s="208"/>
      <c r="GUE286" s="208"/>
      <c r="GUF286" s="208"/>
      <c r="GUG286" s="208"/>
      <c r="GUH286" s="208"/>
      <c r="GUI286" s="208"/>
      <c r="GUJ286" s="208"/>
      <c r="GUK286" s="208"/>
      <c r="GUL286" s="208"/>
      <c r="GUM286" s="208"/>
      <c r="GUN286" s="208"/>
      <c r="GUO286" s="208"/>
      <c r="GUP286" s="208"/>
      <c r="GUQ286" s="208"/>
      <c r="GUR286" s="208"/>
      <c r="GUS286" s="208"/>
      <c r="GUT286" s="208"/>
      <c r="GUU286" s="208"/>
      <c r="GUV286" s="208"/>
      <c r="GUW286" s="208"/>
      <c r="GUX286" s="208"/>
      <c r="GUY286" s="208"/>
      <c r="GUZ286" s="208"/>
      <c r="GVA286" s="208"/>
      <c r="GVB286" s="208"/>
      <c r="GVC286" s="208"/>
      <c r="GVD286" s="208"/>
      <c r="GVE286" s="208"/>
      <c r="GVF286" s="208"/>
      <c r="GVG286" s="208"/>
      <c r="GVH286" s="208"/>
      <c r="GVI286" s="208"/>
      <c r="GVJ286" s="208"/>
      <c r="GVK286" s="208"/>
      <c r="GVL286" s="208"/>
      <c r="GVM286" s="208"/>
      <c r="GVN286" s="208"/>
      <c r="GVO286" s="208"/>
      <c r="GVP286" s="208"/>
      <c r="GVQ286" s="208"/>
      <c r="GVR286" s="208"/>
      <c r="GVS286" s="208"/>
      <c r="GVT286" s="208"/>
      <c r="GVU286" s="208"/>
      <c r="GVV286" s="208"/>
      <c r="GVW286" s="208"/>
      <c r="GVX286" s="208"/>
      <c r="GVY286" s="208"/>
      <c r="GVZ286" s="208"/>
      <c r="GWA286" s="208"/>
      <c r="GWB286" s="208"/>
      <c r="GWC286" s="208"/>
      <c r="GWD286" s="208"/>
      <c r="GWE286" s="208"/>
      <c r="GWF286" s="208"/>
      <c r="GWG286" s="208"/>
      <c r="GWH286" s="208"/>
      <c r="GWI286" s="208"/>
      <c r="GWJ286" s="208"/>
      <c r="GWK286" s="208"/>
      <c r="GWL286" s="208"/>
      <c r="GWM286" s="208"/>
      <c r="GWN286" s="208"/>
      <c r="GWO286" s="208"/>
      <c r="GWP286" s="208"/>
      <c r="GWQ286" s="208"/>
      <c r="GWR286" s="208"/>
      <c r="GWS286" s="208"/>
      <c r="GWT286" s="208"/>
      <c r="GWU286" s="208"/>
      <c r="GWV286" s="208"/>
      <c r="GWW286" s="208"/>
      <c r="GWX286" s="208"/>
      <c r="GWY286" s="208"/>
      <c r="GWZ286" s="208"/>
      <c r="GXA286" s="208"/>
      <c r="GXB286" s="208"/>
      <c r="GXC286" s="208"/>
      <c r="GXD286" s="208"/>
      <c r="GXE286" s="208"/>
      <c r="GXF286" s="208"/>
      <c r="GXG286" s="208"/>
      <c r="GXH286" s="208"/>
      <c r="GXI286" s="208"/>
      <c r="GXJ286" s="208"/>
      <c r="GXK286" s="208"/>
      <c r="GXL286" s="208"/>
      <c r="GXM286" s="208"/>
      <c r="GXN286" s="208"/>
      <c r="GXO286" s="208"/>
      <c r="GXP286" s="208"/>
      <c r="GXQ286" s="208"/>
      <c r="GXR286" s="208"/>
      <c r="GXS286" s="208"/>
      <c r="GXT286" s="208"/>
      <c r="GXU286" s="208"/>
      <c r="GXV286" s="208"/>
      <c r="GXW286" s="208"/>
      <c r="GXX286" s="208"/>
      <c r="GXY286" s="208"/>
      <c r="GXZ286" s="208"/>
      <c r="GYA286" s="208"/>
      <c r="GYB286" s="208"/>
      <c r="GYC286" s="208"/>
      <c r="GYD286" s="208"/>
      <c r="GYE286" s="208"/>
      <c r="GYF286" s="208"/>
      <c r="GYG286" s="208"/>
      <c r="GYH286" s="208"/>
      <c r="GYI286" s="208"/>
      <c r="GYJ286" s="208"/>
      <c r="GYK286" s="208"/>
      <c r="GYL286" s="208"/>
      <c r="GYM286" s="208"/>
      <c r="GYN286" s="208"/>
      <c r="GYO286" s="208"/>
      <c r="GYP286" s="208"/>
      <c r="GYQ286" s="208"/>
      <c r="GYR286" s="208"/>
      <c r="GYS286" s="208"/>
      <c r="GYT286" s="208"/>
      <c r="GYU286" s="208"/>
      <c r="GYV286" s="208"/>
      <c r="GYW286" s="208"/>
      <c r="GYX286" s="208"/>
      <c r="GYY286" s="208"/>
      <c r="GYZ286" s="208"/>
      <c r="GZA286" s="208"/>
      <c r="GZB286" s="208"/>
      <c r="GZC286" s="208"/>
      <c r="GZD286" s="208"/>
      <c r="GZE286" s="208"/>
      <c r="GZF286" s="208"/>
      <c r="GZG286" s="208"/>
      <c r="GZH286" s="208"/>
      <c r="GZI286" s="208"/>
      <c r="GZJ286" s="208"/>
      <c r="GZK286" s="208"/>
      <c r="GZL286" s="208"/>
      <c r="GZM286" s="208"/>
      <c r="GZN286" s="208"/>
      <c r="GZO286" s="208"/>
      <c r="GZP286" s="208"/>
      <c r="GZQ286" s="208"/>
      <c r="GZR286" s="208"/>
      <c r="GZS286" s="208"/>
      <c r="GZT286" s="208"/>
      <c r="GZU286" s="208"/>
      <c r="GZV286" s="208"/>
      <c r="GZW286" s="208"/>
      <c r="GZX286" s="208"/>
      <c r="GZY286" s="208"/>
      <c r="GZZ286" s="208"/>
      <c r="HAA286" s="208"/>
      <c r="HAB286" s="208"/>
      <c r="HAC286" s="208"/>
      <c r="HAD286" s="208"/>
      <c r="HAE286" s="208"/>
      <c r="HAF286" s="208"/>
      <c r="HAG286" s="208"/>
      <c r="HAH286" s="208"/>
      <c r="HAI286" s="208"/>
      <c r="HAJ286" s="208"/>
      <c r="HAK286" s="208"/>
      <c r="HAL286" s="208"/>
      <c r="HAM286" s="208"/>
      <c r="HAN286" s="208"/>
      <c r="HAO286" s="208"/>
      <c r="HAP286" s="208"/>
      <c r="HAQ286" s="208"/>
      <c r="HAR286" s="208"/>
      <c r="HAS286" s="208"/>
      <c r="HAT286" s="208"/>
      <c r="HAU286" s="208"/>
      <c r="HAV286" s="208"/>
      <c r="HAW286" s="208"/>
      <c r="HAX286" s="208"/>
      <c r="HAY286" s="208"/>
      <c r="HAZ286" s="208"/>
      <c r="HBA286" s="208"/>
      <c r="HBB286" s="208"/>
      <c r="HBC286" s="208"/>
      <c r="HBD286" s="208"/>
      <c r="HBE286" s="208"/>
      <c r="HBF286" s="208"/>
      <c r="HBG286" s="208"/>
      <c r="HBH286" s="208"/>
      <c r="HBI286" s="208"/>
      <c r="HBJ286" s="208"/>
      <c r="HBK286" s="208"/>
      <c r="HBL286" s="208"/>
      <c r="HBM286" s="208"/>
      <c r="HBN286" s="208"/>
      <c r="HBO286" s="208"/>
      <c r="HBP286" s="208"/>
      <c r="HBQ286" s="208"/>
      <c r="HBR286" s="208"/>
      <c r="HBS286" s="208"/>
      <c r="HBT286" s="208"/>
      <c r="HBU286" s="208"/>
      <c r="HBV286" s="208"/>
      <c r="HBW286" s="208"/>
      <c r="HBX286" s="208"/>
      <c r="HBY286" s="208"/>
      <c r="HBZ286" s="208"/>
      <c r="HCA286" s="208"/>
      <c r="HCB286" s="208"/>
      <c r="HCC286" s="208"/>
      <c r="HCD286" s="208"/>
      <c r="HCE286" s="208"/>
      <c r="HCF286" s="208"/>
      <c r="HCG286" s="208"/>
      <c r="HCH286" s="208"/>
      <c r="HCI286" s="208"/>
      <c r="HCJ286" s="208"/>
      <c r="HCK286" s="208"/>
      <c r="HCL286" s="208"/>
      <c r="HCM286" s="208"/>
      <c r="HCN286" s="208"/>
      <c r="HCO286" s="208"/>
      <c r="HCP286" s="208"/>
      <c r="HCQ286" s="208"/>
      <c r="HCR286" s="208"/>
      <c r="HCS286" s="208"/>
      <c r="HCT286" s="208"/>
      <c r="HCU286" s="208"/>
      <c r="HCV286" s="208"/>
      <c r="HCW286" s="208"/>
      <c r="HCX286" s="208"/>
      <c r="HCY286" s="208"/>
      <c r="HCZ286" s="208"/>
      <c r="HDA286" s="208"/>
      <c r="HDB286" s="208"/>
      <c r="HDC286" s="208"/>
      <c r="HDD286" s="208"/>
      <c r="HDE286" s="208"/>
      <c r="HDF286" s="208"/>
      <c r="HDG286" s="208"/>
      <c r="HDH286" s="208"/>
      <c r="HDI286" s="208"/>
      <c r="HDJ286" s="208"/>
      <c r="HDK286" s="208"/>
      <c r="HDL286" s="208"/>
      <c r="HDM286" s="208"/>
      <c r="HDN286" s="208"/>
      <c r="HDO286" s="208"/>
      <c r="HDP286" s="208"/>
      <c r="HDQ286" s="208"/>
      <c r="HDR286" s="208"/>
      <c r="HDS286" s="208"/>
      <c r="HDT286" s="208"/>
      <c r="HDU286" s="208"/>
      <c r="HDV286" s="208"/>
      <c r="HDW286" s="208"/>
      <c r="HDX286" s="208"/>
      <c r="HDY286" s="208"/>
      <c r="HDZ286" s="208"/>
      <c r="HEA286" s="208"/>
      <c r="HEB286" s="208"/>
      <c r="HEC286" s="208"/>
      <c r="HED286" s="208"/>
      <c r="HEE286" s="208"/>
      <c r="HEF286" s="208"/>
      <c r="HEG286" s="208"/>
      <c r="HEH286" s="208"/>
      <c r="HEI286" s="208"/>
      <c r="HEJ286" s="208"/>
      <c r="HEK286" s="208"/>
      <c r="HEL286" s="208"/>
      <c r="HEM286" s="208"/>
      <c r="HEN286" s="208"/>
      <c r="HEO286" s="208"/>
      <c r="HEP286" s="208"/>
      <c r="HEQ286" s="208"/>
      <c r="HER286" s="208"/>
      <c r="HES286" s="208"/>
      <c r="HET286" s="208"/>
      <c r="HEU286" s="208"/>
      <c r="HEV286" s="208"/>
      <c r="HEW286" s="208"/>
      <c r="HEX286" s="208"/>
      <c r="HEY286" s="208"/>
      <c r="HEZ286" s="208"/>
      <c r="HFA286" s="208"/>
      <c r="HFB286" s="208"/>
      <c r="HFC286" s="208"/>
      <c r="HFD286" s="208"/>
      <c r="HFE286" s="208"/>
      <c r="HFF286" s="208"/>
      <c r="HFG286" s="208"/>
      <c r="HFH286" s="208"/>
      <c r="HFI286" s="208"/>
      <c r="HFJ286" s="208"/>
      <c r="HFK286" s="208"/>
      <c r="HFL286" s="208"/>
      <c r="HFM286" s="208"/>
      <c r="HFN286" s="208"/>
      <c r="HFO286" s="208"/>
      <c r="HFP286" s="208"/>
      <c r="HFQ286" s="208"/>
      <c r="HFR286" s="208"/>
      <c r="HFS286" s="208"/>
      <c r="HFT286" s="208"/>
      <c r="HFU286" s="208"/>
      <c r="HFV286" s="208"/>
      <c r="HFW286" s="208"/>
      <c r="HFX286" s="208"/>
      <c r="HFY286" s="208"/>
      <c r="HFZ286" s="208"/>
      <c r="HGA286" s="208"/>
      <c r="HGB286" s="208"/>
      <c r="HGC286" s="208"/>
      <c r="HGD286" s="208"/>
      <c r="HGE286" s="208"/>
      <c r="HGF286" s="208"/>
      <c r="HGG286" s="208"/>
      <c r="HGH286" s="208"/>
      <c r="HGI286" s="208"/>
      <c r="HGJ286" s="208"/>
      <c r="HGK286" s="208"/>
      <c r="HGL286" s="208"/>
      <c r="HGM286" s="208"/>
      <c r="HGN286" s="208"/>
      <c r="HGO286" s="208"/>
      <c r="HGP286" s="208"/>
      <c r="HGQ286" s="208"/>
      <c r="HGR286" s="208"/>
      <c r="HGS286" s="208"/>
      <c r="HGT286" s="208"/>
      <c r="HGU286" s="208"/>
      <c r="HGV286" s="208"/>
      <c r="HGW286" s="208"/>
      <c r="HGX286" s="208"/>
      <c r="HGY286" s="208"/>
      <c r="HGZ286" s="208"/>
      <c r="HHA286" s="208"/>
      <c r="HHB286" s="208"/>
      <c r="HHC286" s="208"/>
      <c r="HHD286" s="208"/>
      <c r="HHE286" s="208"/>
      <c r="HHF286" s="208"/>
      <c r="HHG286" s="208"/>
      <c r="HHH286" s="208"/>
      <c r="HHI286" s="208"/>
      <c r="HHJ286" s="208"/>
      <c r="HHK286" s="208"/>
      <c r="HHL286" s="208"/>
      <c r="HHM286" s="208"/>
      <c r="HHN286" s="208"/>
      <c r="HHO286" s="208"/>
      <c r="HHP286" s="208"/>
      <c r="HHQ286" s="208"/>
      <c r="HHR286" s="208"/>
      <c r="HHS286" s="208"/>
      <c r="HHT286" s="208"/>
      <c r="HHU286" s="208"/>
      <c r="HHV286" s="208"/>
      <c r="HHW286" s="208"/>
      <c r="HHX286" s="208"/>
      <c r="HHY286" s="208"/>
      <c r="HHZ286" s="208"/>
      <c r="HIA286" s="208"/>
      <c r="HIB286" s="208"/>
      <c r="HIC286" s="208"/>
      <c r="HID286" s="208"/>
      <c r="HIE286" s="208"/>
      <c r="HIF286" s="208"/>
      <c r="HIG286" s="208"/>
      <c r="HIH286" s="208"/>
      <c r="HII286" s="208"/>
      <c r="HIJ286" s="208"/>
      <c r="HIK286" s="208"/>
      <c r="HIL286" s="208"/>
      <c r="HIM286" s="208"/>
      <c r="HIN286" s="208"/>
      <c r="HIO286" s="208"/>
      <c r="HIP286" s="208"/>
      <c r="HIQ286" s="208"/>
      <c r="HIR286" s="208"/>
      <c r="HIS286" s="208"/>
      <c r="HIT286" s="208"/>
      <c r="HIU286" s="208"/>
      <c r="HIV286" s="208"/>
      <c r="HIW286" s="208"/>
      <c r="HIX286" s="208"/>
      <c r="HIY286" s="208"/>
      <c r="HIZ286" s="208"/>
      <c r="HJA286" s="208"/>
      <c r="HJB286" s="208"/>
      <c r="HJC286" s="208"/>
      <c r="HJD286" s="208"/>
      <c r="HJE286" s="208"/>
      <c r="HJF286" s="208"/>
      <c r="HJG286" s="208"/>
      <c r="HJH286" s="208"/>
      <c r="HJI286" s="208"/>
      <c r="HJJ286" s="208"/>
      <c r="HJK286" s="208"/>
      <c r="HJL286" s="208"/>
      <c r="HJM286" s="208"/>
      <c r="HJN286" s="208"/>
      <c r="HJO286" s="208"/>
      <c r="HJP286" s="208"/>
      <c r="HJQ286" s="208"/>
      <c r="HJR286" s="208"/>
      <c r="HJS286" s="208"/>
      <c r="HJT286" s="208"/>
      <c r="HJU286" s="208"/>
      <c r="HJV286" s="208"/>
      <c r="HJW286" s="208"/>
      <c r="HJX286" s="208"/>
      <c r="HJY286" s="208"/>
      <c r="HJZ286" s="208"/>
      <c r="HKA286" s="208"/>
      <c r="HKB286" s="208"/>
      <c r="HKC286" s="208"/>
      <c r="HKD286" s="208"/>
      <c r="HKE286" s="208"/>
      <c r="HKF286" s="208"/>
      <c r="HKG286" s="208"/>
      <c r="HKH286" s="208"/>
      <c r="HKI286" s="208"/>
      <c r="HKJ286" s="208"/>
      <c r="HKK286" s="208"/>
      <c r="HKL286" s="208"/>
      <c r="HKM286" s="208"/>
      <c r="HKN286" s="208"/>
      <c r="HKO286" s="208"/>
      <c r="HKP286" s="208"/>
      <c r="HKQ286" s="208"/>
      <c r="HKR286" s="208"/>
      <c r="HKS286" s="208"/>
      <c r="HKT286" s="208"/>
      <c r="HKU286" s="208"/>
      <c r="HKV286" s="208"/>
      <c r="HKW286" s="208"/>
      <c r="HKX286" s="208"/>
      <c r="HKY286" s="208"/>
      <c r="HKZ286" s="208"/>
      <c r="HLA286" s="208"/>
      <c r="HLB286" s="208"/>
      <c r="HLC286" s="208"/>
      <c r="HLD286" s="208"/>
      <c r="HLE286" s="208"/>
      <c r="HLF286" s="208"/>
      <c r="HLG286" s="208"/>
      <c r="HLH286" s="208"/>
      <c r="HLI286" s="208"/>
      <c r="HLJ286" s="208"/>
      <c r="HLK286" s="208"/>
      <c r="HLL286" s="208"/>
      <c r="HLM286" s="208"/>
      <c r="HLN286" s="208"/>
      <c r="HLO286" s="208"/>
      <c r="HLP286" s="208"/>
      <c r="HLQ286" s="208"/>
      <c r="HLR286" s="208"/>
      <c r="HLS286" s="208"/>
      <c r="HLT286" s="208"/>
      <c r="HLU286" s="208"/>
      <c r="HLV286" s="208"/>
      <c r="HLW286" s="208"/>
      <c r="HLX286" s="208"/>
      <c r="HLY286" s="208"/>
      <c r="HLZ286" s="208"/>
      <c r="HMA286" s="208"/>
      <c r="HMB286" s="208"/>
      <c r="HMC286" s="208"/>
      <c r="HMD286" s="208"/>
      <c r="HME286" s="208"/>
      <c r="HMF286" s="208"/>
      <c r="HMG286" s="208"/>
      <c r="HMH286" s="208"/>
      <c r="HMI286" s="208"/>
      <c r="HMJ286" s="208"/>
      <c r="HMK286" s="208"/>
      <c r="HML286" s="208"/>
      <c r="HMM286" s="208"/>
      <c r="HMN286" s="208"/>
      <c r="HMO286" s="208"/>
      <c r="HMP286" s="208"/>
      <c r="HMQ286" s="208"/>
      <c r="HMR286" s="208"/>
      <c r="HMS286" s="208"/>
      <c r="HMT286" s="208"/>
      <c r="HMU286" s="208"/>
      <c r="HMV286" s="208"/>
      <c r="HMW286" s="208"/>
      <c r="HMX286" s="208"/>
      <c r="HMY286" s="208"/>
      <c r="HMZ286" s="208"/>
      <c r="HNA286" s="208"/>
      <c r="HNB286" s="208"/>
      <c r="HNC286" s="208"/>
      <c r="HND286" s="208"/>
      <c r="HNE286" s="208"/>
      <c r="HNF286" s="208"/>
      <c r="HNG286" s="208"/>
      <c r="HNH286" s="208"/>
      <c r="HNI286" s="208"/>
      <c r="HNJ286" s="208"/>
      <c r="HNK286" s="208"/>
      <c r="HNL286" s="208"/>
      <c r="HNM286" s="208"/>
      <c r="HNN286" s="208"/>
      <c r="HNO286" s="208"/>
      <c r="HNP286" s="208"/>
      <c r="HNQ286" s="208"/>
      <c r="HNR286" s="208"/>
      <c r="HNS286" s="208"/>
      <c r="HNT286" s="208"/>
      <c r="HNU286" s="208"/>
      <c r="HNV286" s="208"/>
      <c r="HNW286" s="208"/>
      <c r="HNX286" s="208"/>
      <c r="HNY286" s="208"/>
      <c r="HNZ286" s="208"/>
      <c r="HOA286" s="208"/>
      <c r="HOB286" s="208"/>
      <c r="HOC286" s="208"/>
      <c r="HOD286" s="208"/>
      <c r="HOE286" s="208"/>
      <c r="HOF286" s="208"/>
      <c r="HOG286" s="208"/>
      <c r="HOH286" s="208"/>
      <c r="HOI286" s="208"/>
      <c r="HOJ286" s="208"/>
      <c r="HOK286" s="208"/>
      <c r="HOL286" s="208"/>
      <c r="HOM286" s="208"/>
      <c r="HON286" s="208"/>
      <c r="HOO286" s="208"/>
      <c r="HOP286" s="208"/>
      <c r="HOQ286" s="208"/>
      <c r="HOR286" s="208"/>
      <c r="HOS286" s="208"/>
      <c r="HOT286" s="208"/>
      <c r="HOU286" s="208"/>
      <c r="HOV286" s="208"/>
      <c r="HOW286" s="208"/>
      <c r="HOX286" s="208"/>
      <c r="HOY286" s="208"/>
      <c r="HOZ286" s="208"/>
      <c r="HPA286" s="208"/>
      <c r="HPB286" s="208"/>
      <c r="HPC286" s="208"/>
      <c r="HPD286" s="208"/>
      <c r="HPE286" s="208"/>
      <c r="HPF286" s="208"/>
      <c r="HPG286" s="208"/>
      <c r="HPH286" s="208"/>
      <c r="HPI286" s="208"/>
      <c r="HPJ286" s="208"/>
      <c r="HPK286" s="208"/>
      <c r="HPL286" s="208"/>
      <c r="HPM286" s="208"/>
      <c r="HPN286" s="208"/>
      <c r="HPO286" s="208"/>
      <c r="HPP286" s="208"/>
      <c r="HPQ286" s="208"/>
      <c r="HPR286" s="208"/>
      <c r="HPS286" s="208"/>
      <c r="HPT286" s="208"/>
      <c r="HPU286" s="208"/>
      <c r="HPV286" s="208"/>
      <c r="HPW286" s="208"/>
      <c r="HPX286" s="208"/>
      <c r="HPY286" s="208"/>
      <c r="HPZ286" s="208"/>
      <c r="HQA286" s="208"/>
      <c r="HQB286" s="208"/>
      <c r="HQC286" s="208"/>
      <c r="HQD286" s="208"/>
      <c r="HQE286" s="208"/>
      <c r="HQF286" s="208"/>
      <c r="HQG286" s="208"/>
      <c r="HQH286" s="208"/>
      <c r="HQI286" s="208"/>
      <c r="HQJ286" s="208"/>
      <c r="HQK286" s="208"/>
      <c r="HQL286" s="208"/>
      <c r="HQM286" s="208"/>
      <c r="HQN286" s="208"/>
      <c r="HQO286" s="208"/>
      <c r="HQP286" s="208"/>
      <c r="HQQ286" s="208"/>
      <c r="HQR286" s="208"/>
      <c r="HQS286" s="208"/>
      <c r="HQT286" s="208"/>
      <c r="HQU286" s="208"/>
      <c r="HQV286" s="208"/>
      <c r="HQW286" s="208"/>
      <c r="HQX286" s="208"/>
      <c r="HQY286" s="208"/>
      <c r="HQZ286" s="208"/>
      <c r="HRA286" s="208"/>
      <c r="HRB286" s="208"/>
      <c r="HRC286" s="208"/>
      <c r="HRD286" s="208"/>
      <c r="HRE286" s="208"/>
      <c r="HRF286" s="208"/>
      <c r="HRG286" s="208"/>
      <c r="HRH286" s="208"/>
      <c r="HRI286" s="208"/>
      <c r="HRJ286" s="208"/>
      <c r="HRK286" s="208"/>
      <c r="HRL286" s="208"/>
      <c r="HRM286" s="208"/>
      <c r="HRN286" s="208"/>
      <c r="HRO286" s="208"/>
      <c r="HRP286" s="208"/>
      <c r="HRQ286" s="208"/>
      <c r="HRR286" s="208"/>
      <c r="HRS286" s="208"/>
      <c r="HRT286" s="208"/>
      <c r="HRU286" s="208"/>
      <c r="HRV286" s="208"/>
      <c r="HRW286" s="208"/>
      <c r="HRX286" s="208"/>
      <c r="HRY286" s="208"/>
      <c r="HRZ286" s="208"/>
      <c r="HSA286" s="208"/>
      <c r="HSB286" s="208"/>
      <c r="HSC286" s="208"/>
      <c r="HSD286" s="208"/>
      <c r="HSE286" s="208"/>
      <c r="HSF286" s="208"/>
      <c r="HSG286" s="208"/>
      <c r="HSH286" s="208"/>
      <c r="HSI286" s="208"/>
      <c r="HSJ286" s="208"/>
      <c r="HSK286" s="208"/>
      <c r="HSL286" s="208"/>
      <c r="HSM286" s="208"/>
      <c r="HSN286" s="208"/>
      <c r="HSO286" s="208"/>
      <c r="HSP286" s="208"/>
      <c r="HSQ286" s="208"/>
      <c r="HSR286" s="208"/>
      <c r="HSS286" s="208"/>
      <c r="HST286" s="208"/>
      <c r="HSU286" s="208"/>
      <c r="HSV286" s="208"/>
      <c r="HSW286" s="208"/>
      <c r="HSX286" s="208"/>
      <c r="HSY286" s="208"/>
      <c r="HSZ286" s="208"/>
      <c r="HTA286" s="208"/>
      <c r="HTB286" s="208"/>
      <c r="HTC286" s="208"/>
      <c r="HTD286" s="208"/>
      <c r="HTE286" s="208"/>
      <c r="HTF286" s="208"/>
      <c r="HTG286" s="208"/>
      <c r="HTH286" s="208"/>
      <c r="HTI286" s="208"/>
      <c r="HTJ286" s="208"/>
      <c r="HTK286" s="208"/>
      <c r="HTL286" s="208"/>
      <c r="HTM286" s="208"/>
      <c r="HTN286" s="208"/>
      <c r="HTO286" s="208"/>
      <c r="HTP286" s="208"/>
      <c r="HTQ286" s="208"/>
      <c r="HTR286" s="208"/>
      <c r="HTS286" s="208"/>
      <c r="HTT286" s="208"/>
      <c r="HTU286" s="208"/>
      <c r="HTV286" s="208"/>
      <c r="HTW286" s="208"/>
      <c r="HTX286" s="208"/>
      <c r="HTY286" s="208"/>
      <c r="HTZ286" s="208"/>
      <c r="HUA286" s="208"/>
      <c r="HUB286" s="208"/>
      <c r="HUC286" s="208"/>
      <c r="HUD286" s="208"/>
      <c r="HUE286" s="208"/>
      <c r="HUF286" s="208"/>
      <c r="HUG286" s="208"/>
      <c r="HUH286" s="208"/>
      <c r="HUI286" s="208"/>
      <c r="HUJ286" s="208"/>
      <c r="HUK286" s="208"/>
      <c r="HUL286" s="208"/>
      <c r="HUM286" s="208"/>
      <c r="HUN286" s="208"/>
      <c r="HUO286" s="208"/>
      <c r="HUP286" s="208"/>
      <c r="HUQ286" s="208"/>
      <c r="HUR286" s="208"/>
      <c r="HUS286" s="208"/>
      <c r="HUT286" s="208"/>
      <c r="HUU286" s="208"/>
      <c r="HUV286" s="208"/>
      <c r="HUW286" s="208"/>
      <c r="HUX286" s="208"/>
      <c r="HUY286" s="208"/>
      <c r="HUZ286" s="208"/>
      <c r="HVA286" s="208"/>
      <c r="HVB286" s="208"/>
      <c r="HVC286" s="208"/>
      <c r="HVD286" s="208"/>
      <c r="HVE286" s="208"/>
      <c r="HVF286" s="208"/>
      <c r="HVG286" s="208"/>
      <c r="HVH286" s="208"/>
      <c r="HVI286" s="208"/>
      <c r="HVJ286" s="208"/>
      <c r="HVK286" s="208"/>
      <c r="HVL286" s="208"/>
      <c r="HVM286" s="208"/>
      <c r="HVN286" s="208"/>
      <c r="HVO286" s="208"/>
      <c r="HVP286" s="208"/>
      <c r="HVQ286" s="208"/>
      <c r="HVR286" s="208"/>
      <c r="HVS286" s="208"/>
      <c r="HVT286" s="208"/>
      <c r="HVU286" s="208"/>
      <c r="HVV286" s="208"/>
      <c r="HVW286" s="208"/>
      <c r="HVX286" s="208"/>
      <c r="HVY286" s="208"/>
      <c r="HVZ286" s="208"/>
      <c r="HWA286" s="208"/>
      <c r="HWB286" s="208"/>
      <c r="HWC286" s="208"/>
      <c r="HWD286" s="208"/>
      <c r="HWE286" s="208"/>
      <c r="HWF286" s="208"/>
      <c r="HWG286" s="208"/>
      <c r="HWH286" s="208"/>
      <c r="HWI286" s="208"/>
      <c r="HWJ286" s="208"/>
      <c r="HWK286" s="208"/>
      <c r="HWL286" s="208"/>
      <c r="HWM286" s="208"/>
      <c r="HWN286" s="208"/>
      <c r="HWO286" s="208"/>
      <c r="HWP286" s="208"/>
      <c r="HWQ286" s="208"/>
      <c r="HWR286" s="208"/>
      <c r="HWS286" s="208"/>
      <c r="HWT286" s="208"/>
      <c r="HWU286" s="208"/>
      <c r="HWV286" s="208"/>
      <c r="HWW286" s="208"/>
      <c r="HWX286" s="208"/>
      <c r="HWY286" s="208"/>
      <c r="HWZ286" s="208"/>
      <c r="HXA286" s="208"/>
      <c r="HXB286" s="208"/>
      <c r="HXC286" s="208"/>
      <c r="HXD286" s="208"/>
      <c r="HXE286" s="208"/>
      <c r="HXF286" s="208"/>
      <c r="HXG286" s="208"/>
      <c r="HXH286" s="208"/>
      <c r="HXI286" s="208"/>
      <c r="HXJ286" s="208"/>
      <c r="HXK286" s="208"/>
      <c r="HXL286" s="208"/>
      <c r="HXM286" s="208"/>
      <c r="HXN286" s="208"/>
      <c r="HXO286" s="208"/>
      <c r="HXP286" s="208"/>
      <c r="HXQ286" s="208"/>
      <c r="HXR286" s="208"/>
      <c r="HXS286" s="208"/>
      <c r="HXT286" s="208"/>
      <c r="HXU286" s="208"/>
      <c r="HXV286" s="208"/>
      <c r="HXW286" s="208"/>
      <c r="HXX286" s="208"/>
      <c r="HXY286" s="208"/>
      <c r="HXZ286" s="208"/>
      <c r="HYA286" s="208"/>
      <c r="HYB286" s="208"/>
      <c r="HYC286" s="208"/>
      <c r="HYD286" s="208"/>
      <c r="HYE286" s="208"/>
      <c r="HYF286" s="208"/>
      <c r="HYG286" s="208"/>
      <c r="HYH286" s="208"/>
      <c r="HYI286" s="208"/>
      <c r="HYJ286" s="208"/>
      <c r="HYK286" s="208"/>
      <c r="HYL286" s="208"/>
      <c r="HYM286" s="208"/>
      <c r="HYN286" s="208"/>
      <c r="HYO286" s="208"/>
      <c r="HYP286" s="208"/>
      <c r="HYQ286" s="208"/>
      <c r="HYR286" s="208"/>
      <c r="HYS286" s="208"/>
      <c r="HYT286" s="208"/>
      <c r="HYU286" s="208"/>
      <c r="HYV286" s="208"/>
      <c r="HYW286" s="208"/>
      <c r="HYX286" s="208"/>
      <c r="HYY286" s="208"/>
      <c r="HYZ286" s="208"/>
      <c r="HZA286" s="208"/>
      <c r="HZB286" s="208"/>
      <c r="HZC286" s="208"/>
      <c r="HZD286" s="208"/>
      <c r="HZE286" s="208"/>
      <c r="HZF286" s="208"/>
      <c r="HZG286" s="208"/>
      <c r="HZH286" s="208"/>
      <c r="HZI286" s="208"/>
      <c r="HZJ286" s="208"/>
      <c r="HZK286" s="208"/>
      <c r="HZL286" s="208"/>
      <c r="HZM286" s="208"/>
      <c r="HZN286" s="208"/>
      <c r="HZO286" s="208"/>
      <c r="HZP286" s="208"/>
      <c r="HZQ286" s="208"/>
      <c r="HZR286" s="208"/>
      <c r="HZS286" s="208"/>
      <c r="HZT286" s="208"/>
      <c r="HZU286" s="208"/>
      <c r="HZV286" s="208"/>
      <c r="HZW286" s="208"/>
      <c r="HZX286" s="208"/>
      <c r="HZY286" s="208"/>
      <c r="HZZ286" s="208"/>
      <c r="IAA286" s="208"/>
      <c r="IAB286" s="208"/>
      <c r="IAC286" s="208"/>
      <c r="IAD286" s="208"/>
      <c r="IAE286" s="208"/>
      <c r="IAF286" s="208"/>
      <c r="IAG286" s="208"/>
      <c r="IAH286" s="208"/>
      <c r="IAI286" s="208"/>
      <c r="IAJ286" s="208"/>
      <c r="IAK286" s="208"/>
      <c r="IAL286" s="208"/>
      <c r="IAM286" s="208"/>
      <c r="IAN286" s="208"/>
      <c r="IAO286" s="208"/>
      <c r="IAP286" s="208"/>
      <c r="IAQ286" s="208"/>
      <c r="IAR286" s="208"/>
      <c r="IAS286" s="208"/>
      <c r="IAT286" s="208"/>
      <c r="IAU286" s="208"/>
      <c r="IAV286" s="208"/>
      <c r="IAW286" s="208"/>
      <c r="IAX286" s="208"/>
      <c r="IAY286" s="208"/>
      <c r="IAZ286" s="208"/>
      <c r="IBA286" s="208"/>
      <c r="IBB286" s="208"/>
      <c r="IBC286" s="208"/>
      <c r="IBD286" s="208"/>
      <c r="IBE286" s="208"/>
      <c r="IBF286" s="208"/>
      <c r="IBG286" s="208"/>
      <c r="IBH286" s="208"/>
      <c r="IBI286" s="208"/>
      <c r="IBJ286" s="208"/>
      <c r="IBK286" s="208"/>
      <c r="IBL286" s="208"/>
      <c r="IBM286" s="208"/>
      <c r="IBN286" s="208"/>
      <c r="IBO286" s="208"/>
      <c r="IBP286" s="208"/>
      <c r="IBQ286" s="208"/>
      <c r="IBR286" s="208"/>
      <c r="IBS286" s="208"/>
      <c r="IBT286" s="208"/>
      <c r="IBU286" s="208"/>
      <c r="IBV286" s="208"/>
      <c r="IBW286" s="208"/>
      <c r="IBX286" s="208"/>
      <c r="IBY286" s="208"/>
      <c r="IBZ286" s="208"/>
      <c r="ICA286" s="208"/>
      <c r="ICB286" s="208"/>
      <c r="ICC286" s="208"/>
      <c r="ICD286" s="208"/>
      <c r="ICE286" s="208"/>
      <c r="ICF286" s="208"/>
      <c r="ICG286" s="208"/>
      <c r="ICH286" s="208"/>
      <c r="ICI286" s="208"/>
      <c r="ICJ286" s="208"/>
      <c r="ICK286" s="208"/>
      <c r="ICL286" s="208"/>
      <c r="ICM286" s="208"/>
      <c r="ICN286" s="208"/>
      <c r="ICO286" s="208"/>
      <c r="ICP286" s="208"/>
      <c r="ICQ286" s="208"/>
      <c r="ICR286" s="208"/>
      <c r="ICS286" s="208"/>
      <c r="ICT286" s="208"/>
      <c r="ICU286" s="208"/>
      <c r="ICV286" s="208"/>
      <c r="ICW286" s="208"/>
      <c r="ICX286" s="208"/>
      <c r="ICY286" s="208"/>
      <c r="ICZ286" s="208"/>
      <c r="IDA286" s="208"/>
      <c r="IDB286" s="208"/>
      <c r="IDC286" s="208"/>
      <c r="IDD286" s="208"/>
      <c r="IDE286" s="208"/>
      <c r="IDF286" s="208"/>
      <c r="IDG286" s="208"/>
      <c r="IDH286" s="208"/>
      <c r="IDI286" s="208"/>
      <c r="IDJ286" s="208"/>
      <c r="IDK286" s="208"/>
      <c r="IDL286" s="208"/>
      <c r="IDM286" s="208"/>
      <c r="IDN286" s="208"/>
      <c r="IDO286" s="208"/>
      <c r="IDP286" s="208"/>
      <c r="IDQ286" s="208"/>
      <c r="IDR286" s="208"/>
      <c r="IDS286" s="208"/>
      <c r="IDT286" s="208"/>
      <c r="IDU286" s="208"/>
      <c r="IDV286" s="208"/>
      <c r="IDW286" s="208"/>
      <c r="IDX286" s="208"/>
      <c r="IDY286" s="208"/>
      <c r="IDZ286" s="208"/>
      <c r="IEA286" s="208"/>
      <c r="IEB286" s="208"/>
      <c r="IEC286" s="208"/>
      <c r="IED286" s="208"/>
      <c r="IEE286" s="208"/>
      <c r="IEF286" s="208"/>
      <c r="IEG286" s="208"/>
      <c r="IEH286" s="208"/>
      <c r="IEI286" s="208"/>
      <c r="IEJ286" s="208"/>
      <c r="IEK286" s="208"/>
      <c r="IEL286" s="208"/>
      <c r="IEM286" s="208"/>
      <c r="IEN286" s="208"/>
      <c r="IEO286" s="208"/>
      <c r="IEP286" s="208"/>
      <c r="IEQ286" s="208"/>
      <c r="IER286" s="208"/>
      <c r="IES286" s="208"/>
      <c r="IET286" s="208"/>
      <c r="IEU286" s="208"/>
      <c r="IEV286" s="208"/>
      <c r="IEW286" s="208"/>
      <c r="IEX286" s="208"/>
      <c r="IEY286" s="208"/>
      <c r="IEZ286" s="208"/>
      <c r="IFA286" s="208"/>
      <c r="IFB286" s="208"/>
      <c r="IFC286" s="208"/>
      <c r="IFD286" s="208"/>
      <c r="IFE286" s="208"/>
      <c r="IFF286" s="208"/>
      <c r="IFG286" s="208"/>
      <c r="IFH286" s="208"/>
      <c r="IFI286" s="208"/>
      <c r="IFJ286" s="208"/>
      <c r="IFK286" s="208"/>
      <c r="IFL286" s="208"/>
      <c r="IFM286" s="208"/>
      <c r="IFN286" s="208"/>
      <c r="IFO286" s="208"/>
      <c r="IFP286" s="208"/>
      <c r="IFQ286" s="208"/>
      <c r="IFR286" s="208"/>
      <c r="IFS286" s="208"/>
      <c r="IFT286" s="208"/>
      <c r="IFU286" s="208"/>
      <c r="IFV286" s="208"/>
      <c r="IFW286" s="208"/>
      <c r="IFX286" s="208"/>
      <c r="IFY286" s="208"/>
      <c r="IFZ286" s="208"/>
      <c r="IGA286" s="208"/>
      <c r="IGB286" s="208"/>
      <c r="IGC286" s="208"/>
      <c r="IGD286" s="208"/>
      <c r="IGE286" s="208"/>
      <c r="IGF286" s="208"/>
      <c r="IGG286" s="208"/>
      <c r="IGH286" s="208"/>
      <c r="IGI286" s="208"/>
      <c r="IGJ286" s="208"/>
      <c r="IGK286" s="208"/>
      <c r="IGL286" s="208"/>
      <c r="IGM286" s="208"/>
      <c r="IGN286" s="208"/>
      <c r="IGO286" s="208"/>
      <c r="IGP286" s="208"/>
      <c r="IGQ286" s="208"/>
      <c r="IGR286" s="208"/>
      <c r="IGS286" s="208"/>
      <c r="IGT286" s="208"/>
      <c r="IGU286" s="208"/>
      <c r="IGV286" s="208"/>
      <c r="IGW286" s="208"/>
      <c r="IGX286" s="208"/>
      <c r="IGY286" s="208"/>
      <c r="IGZ286" s="208"/>
      <c r="IHA286" s="208"/>
      <c r="IHB286" s="208"/>
      <c r="IHC286" s="208"/>
      <c r="IHD286" s="208"/>
      <c r="IHE286" s="208"/>
      <c r="IHF286" s="208"/>
      <c r="IHG286" s="208"/>
      <c r="IHH286" s="208"/>
      <c r="IHI286" s="208"/>
      <c r="IHJ286" s="208"/>
      <c r="IHK286" s="208"/>
      <c r="IHL286" s="208"/>
      <c r="IHM286" s="208"/>
      <c r="IHN286" s="208"/>
      <c r="IHO286" s="208"/>
      <c r="IHP286" s="208"/>
      <c r="IHQ286" s="208"/>
      <c r="IHR286" s="208"/>
      <c r="IHS286" s="208"/>
      <c r="IHT286" s="208"/>
      <c r="IHU286" s="208"/>
      <c r="IHV286" s="208"/>
      <c r="IHW286" s="208"/>
      <c r="IHX286" s="208"/>
      <c r="IHY286" s="208"/>
      <c r="IHZ286" s="208"/>
      <c r="IIA286" s="208"/>
      <c r="IIB286" s="208"/>
      <c r="IIC286" s="208"/>
      <c r="IID286" s="208"/>
      <c r="IIE286" s="208"/>
      <c r="IIF286" s="208"/>
      <c r="IIG286" s="208"/>
      <c r="IIH286" s="208"/>
      <c r="III286" s="208"/>
      <c r="IIJ286" s="208"/>
      <c r="IIK286" s="208"/>
      <c r="IIL286" s="208"/>
      <c r="IIM286" s="208"/>
      <c r="IIN286" s="208"/>
      <c r="IIO286" s="208"/>
      <c r="IIP286" s="208"/>
      <c r="IIQ286" s="208"/>
      <c r="IIR286" s="208"/>
      <c r="IIS286" s="208"/>
      <c r="IIT286" s="208"/>
      <c r="IIU286" s="208"/>
      <c r="IIV286" s="208"/>
      <c r="IIW286" s="208"/>
      <c r="IIX286" s="208"/>
      <c r="IIY286" s="208"/>
      <c r="IIZ286" s="208"/>
      <c r="IJA286" s="208"/>
      <c r="IJB286" s="208"/>
      <c r="IJC286" s="208"/>
      <c r="IJD286" s="208"/>
      <c r="IJE286" s="208"/>
      <c r="IJF286" s="208"/>
      <c r="IJG286" s="208"/>
      <c r="IJH286" s="208"/>
      <c r="IJI286" s="208"/>
      <c r="IJJ286" s="208"/>
      <c r="IJK286" s="208"/>
      <c r="IJL286" s="208"/>
      <c r="IJM286" s="208"/>
      <c r="IJN286" s="208"/>
      <c r="IJO286" s="208"/>
      <c r="IJP286" s="208"/>
      <c r="IJQ286" s="208"/>
      <c r="IJR286" s="208"/>
      <c r="IJS286" s="208"/>
      <c r="IJT286" s="208"/>
      <c r="IJU286" s="208"/>
      <c r="IJV286" s="208"/>
      <c r="IJW286" s="208"/>
      <c r="IJX286" s="208"/>
      <c r="IJY286" s="208"/>
      <c r="IJZ286" s="208"/>
      <c r="IKA286" s="208"/>
      <c r="IKB286" s="208"/>
      <c r="IKC286" s="208"/>
      <c r="IKD286" s="208"/>
      <c r="IKE286" s="208"/>
      <c r="IKF286" s="208"/>
      <c r="IKG286" s="208"/>
      <c r="IKH286" s="208"/>
      <c r="IKI286" s="208"/>
      <c r="IKJ286" s="208"/>
      <c r="IKK286" s="208"/>
      <c r="IKL286" s="208"/>
      <c r="IKM286" s="208"/>
      <c r="IKN286" s="208"/>
      <c r="IKO286" s="208"/>
      <c r="IKP286" s="208"/>
      <c r="IKQ286" s="208"/>
      <c r="IKR286" s="208"/>
      <c r="IKS286" s="208"/>
      <c r="IKT286" s="208"/>
      <c r="IKU286" s="208"/>
      <c r="IKV286" s="208"/>
      <c r="IKW286" s="208"/>
      <c r="IKX286" s="208"/>
      <c r="IKY286" s="208"/>
      <c r="IKZ286" s="208"/>
      <c r="ILA286" s="208"/>
      <c r="ILB286" s="208"/>
      <c r="ILC286" s="208"/>
      <c r="ILD286" s="208"/>
      <c r="ILE286" s="208"/>
      <c r="ILF286" s="208"/>
      <c r="ILG286" s="208"/>
      <c r="ILH286" s="208"/>
      <c r="ILI286" s="208"/>
      <c r="ILJ286" s="208"/>
      <c r="ILK286" s="208"/>
      <c r="ILL286" s="208"/>
      <c r="ILM286" s="208"/>
      <c r="ILN286" s="208"/>
      <c r="ILO286" s="208"/>
      <c r="ILP286" s="208"/>
      <c r="ILQ286" s="208"/>
      <c r="ILR286" s="208"/>
      <c r="ILS286" s="208"/>
      <c r="ILT286" s="208"/>
      <c r="ILU286" s="208"/>
      <c r="ILV286" s="208"/>
      <c r="ILW286" s="208"/>
      <c r="ILX286" s="208"/>
      <c r="ILY286" s="208"/>
      <c r="ILZ286" s="208"/>
      <c r="IMA286" s="208"/>
      <c r="IMB286" s="208"/>
      <c r="IMC286" s="208"/>
      <c r="IMD286" s="208"/>
      <c r="IME286" s="208"/>
      <c r="IMF286" s="208"/>
      <c r="IMG286" s="208"/>
      <c r="IMH286" s="208"/>
      <c r="IMI286" s="208"/>
      <c r="IMJ286" s="208"/>
      <c r="IMK286" s="208"/>
      <c r="IML286" s="208"/>
      <c r="IMM286" s="208"/>
      <c r="IMN286" s="208"/>
      <c r="IMO286" s="208"/>
      <c r="IMP286" s="208"/>
      <c r="IMQ286" s="208"/>
      <c r="IMR286" s="208"/>
      <c r="IMS286" s="208"/>
      <c r="IMT286" s="208"/>
      <c r="IMU286" s="208"/>
      <c r="IMV286" s="208"/>
      <c r="IMW286" s="208"/>
      <c r="IMX286" s="208"/>
      <c r="IMY286" s="208"/>
      <c r="IMZ286" s="208"/>
      <c r="INA286" s="208"/>
      <c r="INB286" s="208"/>
      <c r="INC286" s="208"/>
      <c r="IND286" s="208"/>
      <c r="INE286" s="208"/>
      <c r="INF286" s="208"/>
      <c r="ING286" s="208"/>
      <c r="INH286" s="208"/>
      <c r="INI286" s="208"/>
      <c r="INJ286" s="208"/>
      <c r="INK286" s="208"/>
      <c r="INL286" s="208"/>
      <c r="INM286" s="208"/>
      <c r="INN286" s="208"/>
      <c r="INO286" s="208"/>
      <c r="INP286" s="208"/>
      <c r="INQ286" s="208"/>
      <c r="INR286" s="208"/>
      <c r="INS286" s="208"/>
      <c r="INT286" s="208"/>
      <c r="INU286" s="208"/>
      <c r="INV286" s="208"/>
      <c r="INW286" s="208"/>
      <c r="INX286" s="208"/>
      <c r="INY286" s="208"/>
      <c r="INZ286" s="208"/>
      <c r="IOA286" s="208"/>
      <c r="IOB286" s="208"/>
      <c r="IOC286" s="208"/>
      <c r="IOD286" s="208"/>
      <c r="IOE286" s="208"/>
      <c r="IOF286" s="208"/>
      <c r="IOG286" s="208"/>
      <c r="IOH286" s="208"/>
      <c r="IOI286" s="208"/>
      <c r="IOJ286" s="208"/>
      <c r="IOK286" s="208"/>
      <c r="IOL286" s="208"/>
      <c r="IOM286" s="208"/>
      <c r="ION286" s="208"/>
      <c r="IOO286" s="208"/>
      <c r="IOP286" s="208"/>
      <c r="IOQ286" s="208"/>
      <c r="IOR286" s="208"/>
      <c r="IOS286" s="208"/>
      <c r="IOT286" s="208"/>
      <c r="IOU286" s="208"/>
      <c r="IOV286" s="208"/>
      <c r="IOW286" s="208"/>
      <c r="IOX286" s="208"/>
      <c r="IOY286" s="208"/>
      <c r="IOZ286" s="208"/>
      <c r="IPA286" s="208"/>
      <c r="IPB286" s="208"/>
      <c r="IPC286" s="208"/>
      <c r="IPD286" s="208"/>
      <c r="IPE286" s="208"/>
      <c r="IPF286" s="208"/>
      <c r="IPG286" s="208"/>
      <c r="IPH286" s="208"/>
      <c r="IPI286" s="208"/>
      <c r="IPJ286" s="208"/>
      <c r="IPK286" s="208"/>
      <c r="IPL286" s="208"/>
      <c r="IPM286" s="208"/>
      <c r="IPN286" s="208"/>
      <c r="IPO286" s="208"/>
      <c r="IPP286" s="208"/>
      <c r="IPQ286" s="208"/>
      <c r="IPR286" s="208"/>
      <c r="IPS286" s="208"/>
      <c r="IPT286" s="208"/>
      <c r="IPU286" s="208"/>
      <c r="IPV286" s="208"/>
      <c r="IPW286" s="208"/>
      <c r="IPX286" s="208"/>
      <c r="IPY286" s="208"/>
      <c r="IPZ286" s="208"/>
      <c r="IQA286" s="208"/>
      <c r="IQB286" s="208"/>
      <c r="IQC286" s="208"/>
      <c r="IQD286" s="208"/>
      <c r="IQE286" s="208"/>
      <c r="IQF286" s="208"/>
      <c r="IQG286" s="208"/>
      <c r="IQH286" s="208"/>
      <c r="IQI286" s="208"/>
      <c r="IQJ286" s="208"/>
      <c r="IQK286" s="208"/>
      <c r="IQL286" s="208"/>
      <c r="IQM286" s="208"/>
      <c r="IQN286" s="208"/>
      <c r="IQO286" s="208"/>
      <c r="IQP286" s="208"/>
      <c r="IQQ286" s="208"/>
      <c r="IQR286" s="208"/>
      <c r="IQS286" s="208"/>
      <c r="IQT286" s="208"/>
      <c r="IQU286" s="208"/>
      <c r="IQV286" s="208"/>
      <c r="IQW286" s="208"/>
      <c r="IQX286" s="208"/>
      <c r="IQY286" s="208"/>
      <c r="IQZ286" s="208"/>
      <c r="IRA286" s="208"/>
      <c r="IRB286" s="208"/>
      <c r="IRC286" s="208"/>
      <c r="IRD286" s="208"/>
      <c r="IRE286" s="208"/>
      <c r="IRF286" s="208"/>
      <c r="IRG286" s="208"/>
      <c r="IRH286" s="208"/>
      <c r="IRI286" s="208"/>
      <c r="IRJ286" s="208"/>
      <c r="IRK286" s="208"/>
      <c r="IRL286" s="208"/>
      <c r="IRM286" s="208"/>
      <c r="IRN286" s="208"/>
      <c r="IRO286" s="208"/>
      <c r="IRP286" s="208"/>
      <c r="IRQ286" s="208"/>
      <c r="IRR286" s="208"/>
      <c r="IRS286" s="208"/>
      <c r="IRT286" s="208"/>
      <c r="IRU286" s="208"/>
      <c r="IRV286" s="208"/>
      <c r="IRW286" s="208"/>
      <c r="IRX286" s="208"/>
      <c r="IRY286" s="208"/>
      <c r="IRZ286" s="208"/>
      <c r="ISA286" s="208"/>
      <c r="ISB286" s="208"/>
      <c r="ISC286" s="208"/>
      <c r="ISD286" s="208"/>
      <c r="ISE286" s="208"/>
      <c r="ISF286" s="208"/>
      <c r="ISG286" s="208"/>
      <c r="ISH286" s="208"/>
      <c r="ISI286" s="208"/>
      <c r="ISJ286" s="208"/>
      <c r="ISK286" s="208"/>
      <c r="ISL286" s="208"/>
      <c r="ISM286" s="208"/>
      <c r="ISN286" s="208"/>
      <c r="ISO286" s="208"/>
      <c r="ISP286" s="208"/>
      <c r="ISQ286" s="208"/>
      <c r="ISR286" s="208"/>
      <c r="ISS286" s="208"/>
      <c r="IST286" s="208"/>
      <c r="ISU286" s="208"/>
      <c r="ISV286" s="208"/>
      <c r="ISW286" s="208"/>
      <c r="ISX286" s="208"/>
      <c r="ISY286" s="208"/>
      <c r="ISZ286" s="208"/>
      <c r="ITA286" s="208"/>
      <c r="ITB286" s="208"/>
      <c r="ITC286" s="208"/>
      <c r="ITD286" s="208"/>
      <c r="ITE286" s="208"/>
      <c r="ITF286" s="208"/>
      <c r="ITG286" s="208"/>
      <c r="ITH286" s="208"/>
      <c r="ITI286" s="208"/>
      <c r="ITJ286" s="208"/>
      <c r="ITK286" s="208"/>
      <c r="ITL286" s="208"/>
      <c r="ITM286" s="208"/>
      <c r="ITN286" s="208"/>
      <c r="ITO286" s="208"/>
      <c r="ITP286" s="208"/>
      <c r="ITQ286" s="208"/>
      <c r="ITR286" s="208"/>
      <c r="ITS286" s="208"/>
      <c r="ITT286" s="208"/>
      <c r="ITU286" s="208"/>
      <c r="ITV286" s="208"/>
      <c r="ITW286" s="208"/>
      <c r="ITX286" s="208"/>
      <c r="ITY286" s="208"/>
      <c r="ITZ286" s="208"/>
      <c r="IUA286" s="208"/>
      <c r="IUB286" s="208"/>
      <c r="IUC286" s="208"/>
      <c r="IUD286" s="208"/>
      <c r="IUE286" s="208"/>
      <c r="IUF286" s="208"/>
      <c r="IUG286" s="208"/>
      <c r="IUH286" s="208"/>
      <c r="IUI286" s="208"/>
      <c r="IUJ286" s="208"/>
      <c r="IUK286" s="208"/>
      <c r="IUL286" s="208"/>
      <c r="IUM286" s="208"/>
      <c r="IUN286" s="208"/>
      <c r="IUO286" s="208"/>
      <c r="IUP286" s="208"/>
      <c r="IUQ286" s="208"/>
      <c r="IUR286" s="208"/>
      <c r="IUS286" s="208"/>
      <c r="IUT286" s="208"/>
      <c r="IUU286" s="208"/>
      <c r="IUV286" s="208"/>
      <c r="IUW286" s="208"/>
      <c r="IUX286" s="208"/>
      <c r="IUY286" s="208"/>
      <c r="IUZ286" s="208"/>
      <c r="IVA286" s="208"/>
      <c r="IVB286" s="208"/>
      <c r="IVC286" s="208"/>
      <c r="IVD286" s="208"/>
      <c r="IVE286" s="208"/>
      <c r="IVF286" s="208"/>
      <c r="IVG286" s="208"/>
      <c r="IVH286" s="208"/>
      <c r="IVI286" s="208"/>
      <c r="IVJ286" s="208"/>
      <c r="IVK286" s="208"/>
      <c r="IVL286" s="208"/>
      <c r="IVM286" s="208"/>
      <c r="IVN286" s="208"/>
      <c r="IVO286" s="208"/>
      <c r="IVP286" s="208"/>
      <c r="IVQ286" s="208"/>
      <c r="IVR286" s="208"/>
      <c r="IVS286" s="208"/>
      <c r="IVT286" s="208"/>
      <c r="IVU286" s="208"/>
      <c r="IVV286" s="208"/>
      <c r="IVW286" s="208"/>
      <c r="IVX286" s="208"/>
      <c r="IVY286" s="208"/>
      <c r="IVZ286" s="208"/>
      <c r="IWA286" s="208"/>
      <c r="IWB286" s="208"/>
      <c r="IWC286" s="208"/>
      <c r="IWD286" s="208"/>
      <c r="IWE286" s="208"/>
      <c r="IWF286" s="208"/>
      <c r="IWG286" s="208"/>
      <c r="IWH286" s="208"/>
      <c r="IWI286" s="208"/>
      <c r="IWJ286" s="208"/>
      <c r="IWK286" s="208"/>
      <c r="IWL286" s="208"/>
      <c r="IWM286" s="208"/>
      <c r="IWN286" s="208"/>
      <c r="IWO286" s="208"/>
      <c r="IWP286" s="208"/>
      <c r="IWQ286" s="208"/>
      <c r="IWR286" s="208"/>
      <c r="IWS286" s="208"/>
      <c r="IWT286" s="208"/>
      <c r="IWU286" s="208"/>
      <c r="IWV286" s="208"/>
      <c r="IWW286" s="208"/>
      <c r="IWX286" s="208"/>
      <c r="IWY286" s="208"/>
      <c r="IWZ286" s="208"/>
      <c r="IXA286" s="208"/>
      <c r="IXB286" s="208"/>
      <c r="IXC286" s="208"/>
      <c r="IXD286" s="208"/>
      <c r="IXE286" s="208"/>
      <c r="IXF286" s="208"/>
      <c r="IXG286" s="208"/>
      <c r="IXH286" s="208"/>
      <c r="IXI286" s="208"/>
      <c r="IXJ286" s="208"/>
      <c r="IXK286" s="208"/>
      <c r="IXL286" s="208"/>
      <c r="IXM286" s="208"/>
      <c r="IXN286" s="208"/>
      <c r="IXO286" s="208"/>
      <c r="IXP286" s="208"/>
      <c r="IXQ286" s="208"/>
      <c r="IXR286" s="208"/>
      <c r="IXS286" s="208"/>
      <c r="IXT286" s="208"/>
      <c r="IXU286" s="208"/>
      <c r="IXV286" s="208"/>
      <c r="IXW286" s="208"/>
      <c r="IXX286" s="208"/>
      <c r="IXY286" s="208"/>
      <c r="IXZ286" s="208"/>
      <c r="IYA286" s="208"/>
      <c r="IYB286" s="208"/>
      <c r="IYC286" s="208"/>
      <c r="IYD286" s="208"/>
      <c r="IYE286" s="208"/>
      <c r="IYF286" s="208"/>
      <c r="IYG286" s="208"/>
      <c r="IYH286" s="208"/>
      <c r="IYI286" s="208"/>
      <c r="IYJ286" s="208"/>
      <c r="IYK286" s="208"/>
      <c r="IYL286" s="208"/>
      <c r="IYM286" s="208"/>
      <c r="IYN286" s="208"/>
      <c r="IYO286" s="208"/>
      <c r="IYP286" s="208"/>
      <c r="IYQ286" s="208"/>
      <c r="IYR286" s="208"/>
      <c r="IYS286" s="208"/>
      <c r="IYT286" s="208"/>
      <c r="IYU286" s="208"/>
      <c r="IYV286" s="208"/>
      <c r="IYW286" s="208"/>
      <c r="IYX286" s="208"/>
      <c r="IYY286" s="208"/>
      <c r="IYZ286" s="208"/>
      <c r="IZA286" s="208"/>
      <c r="IZB286" s="208"/>
      <c r="IZC286" s="208"/>
      <c r="IZD286" s="208"/>
      <c r="IZE286" s="208"/>
      <c r="IZF286" s="208"/>
      <c r="IZG286" s="208"/>
      <c r="IZH286" s="208"/>
      <c r="IZI286" s="208"/>
      <c r="IZJ286" s="208"/>
      <c r="IZK286" s="208"/>
      <c r="IZL286" s="208"/>
      <c r="IZM286" s="208"/>
      <c r="IZN286" s="208"/>
      <c r="IZO286" s="208"/>
      <c r="IZP286" s="208"/>
      <c r="IZQ286" s="208"/>
      <c r="IZR286" s="208"/>
      <c r="IZS286" s="208"/>
      <c r="IZT286" s="208"/>
      <c r="IZU286" s="208"/>
      <c r="IZV286" s="208"/>
      <c r="IZW286" s="208"/>
      <c r="IZX286" s="208"/>
      <c r="IZY286" s="208"/>
      <c r="IZZ286" s="208"/>
      <c r="JAA286" s="208"/>
      <c r="JAB286" s="208"/>
      <c r="JAC286" s="208"/>
      <c r="JAD286" s="208"/>
      <c r="JAE286" s="208"/>
      <c r="JAF286" s="208"/>
      <c r="JAG286" s="208"/>
      <c r="JAH286" s="208"/>
      <c r="JAI286" s="208"/>
      <c r="JAJ286" s="208"/>
      <c r="JAK286" s="208"/>
      <c r="JAL286" s="208"/>
      <c r="JAM286" s="208"/>
      <c r="JAN286" s="208"/>
      <c r="JAO286" s="208"/>
      <c r="JAP286" s="208"/>
      <c r="JAQ286" s="208"/>
      <c r="JAR286" s="208"/>
      <c r="JAS286" s="208"/>
      <c r="JAT286" s="208"/>
      <c r="JAU286" s="208"/>
      <c r="JAV286" s="208"/>
      <c r="JAW286" s="208"/>
      <c r="JAX286" s="208"/>
      <c r="JAY286" s="208"/>
      <c r="JAZ286" s="208"/>
      <c r="JBA286" s="208"/>
      <c r="JBB286" s="208"/>
      <c r="JBC286" s="208"/>
      <c r="JBD286" s="208"/>
      <c r="JBE286" s="208"/>
      <c r="JBF286" s="208"/>
      <c r="JBG286" s="208"/>
      <c r="JBH286" s="208"/>
      <c r="JBI286" s="208"/>
      <c r="JBJ286" s="208"/>
      <c r="JBK286" s="208"/>
      <c r="JBL286" s="208"/>
      <c r="JBM286" s="208"/>
      <c r="JBN286" s="208"/>
      <c r="JBO286" s="208"/>
      <c r="JBP286" s="208"/>
      <c r="JBQ286" s="208"/>
      <c r="JBR286" s="208"/>
      <c r="JBS286" s="208"/>
      <c r="JBT286" s="208"/>
      <c r="JBU286" s="208"/>
      <c r="JBV286" s="208"/>
      <c r="JBW286" s="208"/>
      <c r="JBX286" s="208"/>
      <c r="JBY286" s="208"/>
      <c r="JBZ286" s="208"/>
      <c r="JCA286" s="208"/>
      <c r="JCB286" s="208"/>
      <c r="JCC286" s="208"/>
      <c r="JCD286" s="208"/>
      <c r="JCE286" s="208"/>
      <c r="JCF286" s="208"/>
      <c r="JCG286" s="208"/>
      <c r="JCH286" s="208"/>
      <c r="JCI286" s="208"/>
      <c r="JCJ286" s="208"/>
      <c r="JCK286" s="208"/>
      <c r="JCL286" s="208"/>
      <c r="JCM286" s="208"/>
      <c r="JCN286" s="208"/>
      <c r="JCO286" s="208"/>
      <c r="JCP286" s="208"/>
      <c r="JCQ286" s="208"/>
      <c r="JCR286" s="208"/>
      <c r="JCS286" s="208"/>
      <c r="JCT286" s="208"/>
      <c r="JCU286" s="208"/>
      <c r="JCV286" s="208"/>
      <c r="JCW286" s="208"/>
      <c r="JCX286" s="208"/>
      <c r="JCY286" s="208"/>
      <c r="JCZ286" s="208"/>
      <c r="JDA286" s="208"/>
      <c r="JDB286" s="208"/>
      <c r="JDC286" s="208"/>
      <c r="JDD286" s="208"/>
      <c r="JDE286" s="208"/>
      <c r="JDF286" s="208"/>
      <c r="JDG286" s="208"/>
      <c r="JDH286" s="208"/>
      <c r="JDI286" s="208"/>
      <c r="JDJ286" s="208"/>
      <c r="JDK286" s="208"/>
      <c r="JDL286" s="208"/>
      <c r="JDM286" s="208"/>
      <c r="JDN286" s="208"/>
      <c r="JDO286" s="208"/>
      <c r="JDP286" s="208"/>
      <c r="JDQ286" s="208"/>
      <c r="JDR286" s="208"/>
      <c r="JDS286" s="208"/>
      <c r="JDT286" s="208"/>
      <c r="JDU286" s="208"/>
      <c r="JDV286" s="208"/>
      <c r="JDW286" s="208"/>
      <c r="JDX286" s="208"/>
      <c r="JDY286" s="208"/>
      <c r="JDZ286" s="208"/>
      <c r="JEA286" s="208"/>
      <c r="JEB286" s="208"/>
      <c r="JEC286" s="208"/>
      <c r="JED286" s="208"/>
      <c r="JEE286" s="208"/>
      <c r="JEF286" s="208"/>
      <c r="JEG286" s="208"/>
      <c r="JEH286" s="208"/>
      <c r="JEI286" s="208"/>
      <c r="JEJ286" s="208"/>
      <c r="JEK286" s="208"/>
      <c r="JEL286" s="208"/>
      <c r="JEM286" s="208"/>
      <c r="JEN286" s="208"/>
      <c r="JEO286" s="208"/>
      <c r="JEP286" s="208"/>
      <c r="JEQ286" s="208"/>
      <c r="JER286" s="208"/>
      <c r="JES286" s="208"/>
      <c r="JET286" s="208"/>
      <c r="JEU286" s="208"/>
      <c r="JEV286" s="208"/>
      <c r="JEW286" s="208"/>
      <c r="JEX286" s="208"/>
      <c r="JEY286" s="208"/>
      <c r="JEZ286" s="208"/>
      <c r="JFA286" s="208"/>
      <c r="JFB286" s="208"/>
      <c r="JFC286" s="208"/>
      <c r="JFD286" s="208"/>
      <c r="JFE286" s="208"/>
      <c r="JFF286" s="208"/>
      <c r="JFG286" s="208"/>
      <c r="JFH286" s="208"/>
      <c r="JFI286" s="208"/>
      <c r="JFJ286" s="208"/>
      <c r="JFK286" s="208"/>
      <c r="JFL286" s="208"/>
      <c r="JFM286" s="208"/>
      <c r="JFN286" s="208"/>
      <c r="JFO286" s="208"/>
      <c r="JFP286" s="208"/>
      <c r="JFQ286" s="208"/>
      <c r="JFR286" s="208"/>
      <c r="JFS286" s="208"/>
      <c r="JFT286" s="208"/>
      <c r="JFU286" s="208"/>
      <c r="JFV286" s="208"/>
      <c r="JFW286" s="208"/>
      <c r="JFX286" s="208"/>
      <c r="JFY286" s="208"/>
      <c r="JFZ286" s="208"/>
      <c r="JGA286" s="208"/>
      <c r="JGB286" s="208"/>
      <c r="JGC286" s="208"/>
      <c r="JGD286" s="208"/>
      <c r="JGE286" s="208"/>
      <c r="JGF286" s="208"/>
      <c r="JGG286" s="208"/>
      <c r="JGH286" s="208"/>
      <c r="JGI286" s="208"/>
      <c r="JGJ286" s="208"/>
      <c r="JGK286" s="208"/>
      <c r="JGL286" s="208"/>
      <c r="JGM286" s="208"/>
      <c r="JGN286" s="208"/>
      <c r="JGO286" s="208"/>
      <c r="JGP286" s="208"/>
      <c r="JGQ286" s="208"/>
      <c r="JGR286" s="208"/>
      <c r="JGS286" s="208"/>
      <c r="JGT286" s="208"/>
      <c r="JGU286" s="208"/>
      <c r="JGV286" s="208"/>
      <c r="JGW286" s="208"/>
      <c r="JGX286" s="208"/>
      <c r="JGY286" s="208"/>
      <c r="JGZ286" s="208"/>
      <c r="JHA286" s="208"/>
      <c r="JHB286" s="208"/>
      <c r="JHC286" s="208"/>
      <c r="JHD286" s="208"/>
      <c r="JHE286" s="208"/>
      <c r="JHF286" s="208"/>
      <c r="JHG286" s="208"/>
      <c r="JHH286" s="208"/>
      <c r="JHI286" s="208"/>
      <c r="JHJ286" s="208"/>
      <c r="JHK286" s="208"/>
      <c r="JHL286" s="208"/>
      <c r="JHM286" s="208"/>
      <c r="JHN286" s="208"/>
      <c r="JHO286" s="208"/>
      <c r="JHP286" s="208"/>
      <c r="JHQ286" s="208"/>
      <c r="JHR286" s="208"/>
      <c r="JHS286" s="208"/>
      <c r="JHT286" s="208"/>
      <c r="JHU286" s="208"/>
      <c r="JHV286" s="208"/>
      <c r="JHW286" s="208"/>
      <c r="JHX286" s="208"/>
      <c r="JHY286" s="208"/>
      <c r="JHZ286" s="208"/>
      <c r="JIA286" s="208"/>
      <c r="JIB286" s="208"/>
      <c r="JIC286" s="208"/>
      <c r="JID286" s="208"/>
      <c r="JIE286" s="208"/>
      <c r="JIF286" s="208"/>
      <c r="JIG286" s="208"/>
      <c r="JIH286" s="208"/>
      <c r="JII286" s="208"/>
      <c r="JIJ286" s="208"/>
      <c r="JIK286" s="208"/>
      <c r="JIL286" s="208"/>
      <c r="JIM286" s="208"/>
      <c r="JIN286" s="208"/>
      <c r="JIO286" s="208"/>
      <c r="JIP286" s="208"/>
      <c r="JIQ286" s="208"/>
      <c r="JIR286" s="208"/>
      <c r="JIS286" s="208"/>
      <c r="JIT286" s="208"/>
      <c r="JIU286" s="208"/>
      <c r="JIV286" s="208"/>
      <c r="JIW286" s="208"/>
      <c r="JIX286" s="208"/>
      <c r="JIY286" s="208"/>
      <c r="JIZ286" s="208"/>
      <c r="JJA286" s="208"/>
      <c r="JJB286" s="208"/>
      <c r="JJC286" s="208"/>
      <c r="JJD286" s="208"/>
      <c r="JJE286" s="208"/>
      <c r="JJF286" s="208"/>
      <c r="JJG286" s="208"/>
      <c r="JJH286" s="208"/>
      <c r="JJI286" s="208"/>
      <c r="JJJ286" s="208"/>
      <c r="JJK286" s="208"/>
      <c r="JJL286" s="208"/>
      <c r="JJM286" s="208"/>
      <c r="JJN286" s="208"/>
      <c r="JJO286" s="208"/>
      <c r="JJP286" s="208"/>
      <c r="JJQ286" s="208"/>
      <c r="JJR286" s="208"/>
      <c r="JJS286" s="208"/>
      <c r="JJT286" s="208"/>
      <c r="JJU286" s="208"/>
      <c r="JJV286" s="208"/>
      <c r="JJW286" s="208"/>
      <c r="JJX286" s="208"/>
      <c r="JJY286" s="208"/>
      <c r="JJZ286" s="208"/>
      <c r="JKA286" s="208"/>
      <c r="JKB286" s="208"/>
      <c r="JKC286" s="208"/>
      <c r="JKD286" s="208"/>
      <c r="JKE286" s="208"/>
      <c r="JKF286" s="208"/>
      <c r="JKG286" s="208"/>
      <c r="JKH286" s="208"/>
      <c r="JKI286" s="208"/>
      <c r="JKJ286" s="208"/>
      <c r="JKK286" s="208"/>
      <c r="JKL286" s="208"/>
      <c r="JKM286" s="208"/>
      <c r="JKN286" s="208"/>
      <c r="JKO286" s="208"/>
      <c r="JKP286" s="208"/>
      <c r="JKQ286" s="208"/>
      <c r="JKR286" s="208"/>
      <c r="JKS286" s="208"/>
      <c r="JKT286" s="208"/>
      <c r="JKU286" s="208"/>
      <c r="JKV286" s="208"/>
      <c r="JKW286" s="208"/>
      <c r="JKX286" s="208"/>
      <c r="JKY286" s="208"/>
      <c r="JKZ286" s="208"/>
      <c r="JLA286" s="208"/>
      <c r="JLB286" s="208"/>
      <c r="JLC286" s="208"/>
      <c r="JLD286" s="208"/>
      <c r="JLE286" s="208"/>
      <c r="JLF286" s="208"/>
      <c r="JLG286" s="208"/>
      <c r="JLH286" s="208"/>
      <c r="JLI286" s="208"/>
      <c r="JLJ286" s="208"/>
      <c r="JLK286" s="208"/>
      <c r="JLL286" s="208"/>
      <c r="JLM286" s="208"/>
      <c r="JLN286" s="208"/>
      <c r="JLO286" s="208"/>
      <c r="JLP286" s="208"/>
      <c r="JLQ286" s="208"/>
      <c r="JLR286" s="208"/>
      <c r="JLS286" s="208"/>
      <c r="JLT286" s="208"/>
      <c r="JLU286" s="208"/>
      <c r="JLV286" s="208"/>
      <c r="JLW286" s="208"/>
      <c r="JLX286" s="208"/>
      <c r="JLY286" s="208"/>
      <c r="JLZ286" s="208"/>
      <c r="JMA286" s="208"/>
      <c r="JMB286" s="208"/>
      <c r="JMC286" s="208"/>
      <c r="JMD286" s="208"/>
      <c r="JME286" s="208"/>
      <c r="JMF286" s="208"/>
      <c r="JMG286" s="208"/>
      <c r="JMH286" s="208"/>
      <c r="JMI286" s="208"/>
      <c r="JMJ286" s="208"/>
      <c r="JMK286" s="208"/>
      <c r="JML286" s="208"/>
      <c r="JMM286" s="208"/>
      <c r="JMN286" s="208"/>
      <c r="JMO286" s="208"/>
      <c r="JMP286" s="208"/>
      <c r="JMQ286" s="208"/>
      <c r="JMR286" s="208"/>
      <c r="JMS286" s="208"/>
      <c r="JMT286" s="208"/>
      <c r="JMU286" s="208"/>
      <c r="JMV286" s="208"/>
      <c r="JMW286" s="208"/>
      <c r="JMX286" s="208"/>
      <c r="JMY286" s="208"/>
      <c r="JMZ286" s="208"/>
      <c r="JNA286" s="208"/>
      <c r="JNB286" s="208"/>
      <c r="JNC286" s="208"/>
      <c r="JND286" s="208"/>
      <c r="JNE286" s="208"/>
      <c r="JNF286" s="208"/>
      <c r="JNG286" s="208"/>
      <c r="JNH286" s="208"/>
      <c r="JNI286" s="208"/>
      <c r="JNJ286" s="208"/>
      <c r="JNK286" s="208"/>
      <c r="JNL286" s="208"/>
      <c r="JNM286" s="208"/>
      <c r="JNN286" s="208"/>
      <c r="JNO286" s="208"/>
      <c r="JNP286" s="208"/>
      <c r="JNQ286" s="208"/>
      <c r="JNR286" s="208"/>
      <c r="JNS286" s="208"/>
      <c r="JNT286" s="208"/>
      <c r="JNU286" s="208"/>
      <c r="JNV286" s="208"/>
      <c r="JNW286" s="208"/>
      <c r="JNX286" s="208"/>
      <c r="JNY286" s="208"/>
      <c r="JNZ286" s="208"/>
      <c r="JOA286" s="208"/>
      <c r="JOB286" s="208"/>
      <c r="JOC286" s="208"/>
      <c r="JOD286" s="208"/>
      <c r="JOE286" s="208"/>
      <c r="JOF286" s="208"/>
      <c r="JOG286" s="208"/>
      <c r="JOH286" s="208"/>
      <c r="JOI286" s="208"/>
      <c r="JOJ286" s="208"/>
      <c r="JOK286" s="208"/>
      <c r="JOL286" s="208"/>
      <c r="JOM286" s="208"/>
      <c r="JON286" s="208"/>
      <c r="JOO286" s="208"/>
      <c r="JOP286" s="208"/>
      <c r="JOQ286" s="208"/>
      <c r="JOR286" s="208"/>
      <c r="JOS286" s="208"/>
      <c r="JOT286" s="208"/>
      <c r="JOU286" s="208"/>
      <c r="JOV286" s="208"/>
      <c r="JOW286" s="208"/>
      <c r="JOX286" s="208"/>
      <c r="JOY286" s="208"/>
      <c r="JOZ286" s="208"/>
      <c r="JPA286" s="208"/>
      <c r="JPB286" s="208"/>
      <c r="JPC286" s="208"/>
      <c r="JPD286" s="208"/>
      <c r="JPE286" s="208"/>
      <c r="JPF286" s="208"/>
      <c r="JPG286" s="208"/>
      <c r="JPH286" s="208"/>
      <c r="JPI286" s="208"/>
      <c r="JPJ286" s="208"/>
      <c r="JPK286" s="208"/>
      <c r="JPL286" s="208"/>
      <c r="JPM286" s="208"/>
      <c r="JPN286" s="208"/>
      <c r="JPO286" s="208"/>
      <c r="JPP286" s="208"/>
      <c r="JPQ286" s="208"/>
      <c r="JPR286" s="208"/>
      <c r="JPS286" s="208"/>
      <c r="JPT286" s="208"/>
      <c r="JPU286" s="208"/>
      <c r="JPV286" s="208"/>
      <c r="JPW286" s="208"/>
      <c r="JPX286" s="208"/>
      <c r="JPY286" s="208"/>
      <c r="JPZ286" s="208"/>
      <c r="JQA286" s="208"/>
      <c r="JQB286" s="208"/>
      <c r="JQC286" s="208"/>
      <c r="JQD286" s="208"/>
      <c r="JQE286" s="208"/>
      <c r="JQF286" s="208"/>
      <c r="JQG286" s="208"/>
      <c r="JQH286" s="208"/>
      <c r="JQI286" s="208"/>
      <c r="JQJ286" s="208"/>
      <c r="JQK286" s="208"/>
      <c r="JQL286" s="208"/>
      <c r="JQM286" s="208"/>
      <c r="JQN286" s="208"/>
      <c r="JQO286" s="208"/>
      <c r="JQP286" s="208"/>
      <c r="JQQ286" s="208"/>
      <c r="JQR286" s="208"/>
      <c r="JQS286" s="208"/>
      <c r="JQT286" s="208"/>
      <c r="JQU286" s="208"/>
      <c r="JQV286" s="208"/>
      <c r="JQW286" s="208"/>
      <c r="JQX286" s="208"/>
      <c r="JQY286" s="208"/>
      <c r="JQZ286" s="208"/>
      <c r="JRA286" s="208"/>
      <c r="JRB286" s="208"/>
      <c r="JRC286" s="208"/>
      <c r="JRD286" s="208"/>
      <c r="JRE286" s="208"/>
      <c r="JRF286" s="208"/>
      <c r="JRG286" s="208"/>
      <c r="JRH286" s="208"/>
      <c r="JRI286" s="208"/>
      <c r="JRJ286" s="208"/>
      <c r="JRK286" s="208"/>
      <c r="JRL286" s="208"/>
      <c r="JRM286" s="208"/>
      <c r="JRN286" s="208"/>
      <c r="JRO286" s="208"/>
      <c r="JRP286" s="208"/>
      <c r="JRQ286" s="208"/>
      <c r="JRR286" s="208"/>
      <c r="JRS286" s="208"/>
      <c r="JRT286" s="208"/>
      <c r="JRU286" s="208"/>
      <c r="JRV286" s="208"/>
      <c r="JRW286" s="208"/>
      <c r="JRX286" s="208"/>
      <c r="JRY286" s="208"/>
      <c r="JRZ286" s="208"/>
      <c r="JSA286" s="208"/>
      <c r="JSB286" s="208"/>
      <c r="JSC286" s="208"/>
      <c r="JSD286" s="208"/>
      <c r="JSE286" s="208"/>
      <c r="JSF286" s="208"/>
      <c r="JSG286" s="208"/>
      <c r="JSH286" s="208"/>
      <c r="JSI286" s="208"/>
      <c r="JSJ286" s="208"/>
      <c r="JSK286" s="208"/>
      <c r="JSL286" s="208"/>
      <c r="JSM286" s="208"/>
      <c r="JSN286" s="208"/>
      <c r="JSO286" s="208"/>
      <c r="JSP286" s="208"/>
      <c r="JSQ286" s="208"/>
      <c r="JSR286" s="208"/>
      <c r="JSS286" s="208"/>
      <c r="JST286" s="208"/>
      <c r="JSU286" s="208"/>
      <c r="JSV286" s="208"/>
      <c r="JSW286" s="208"/>
      <c r="JSX286" s="208"/>
      <c r="JSY286" s="208"/>
      <c r="JSZ286" s="208"/>
      <c r="JTA286" s="208"/>
      <c r="JTB286" s="208"/>
      <c r="JTC286" s="208"/>
      <c r="JTD286" s="208"/>
      <c r="JTE286" s="208"/>
      <c r="JTF286" s="208"/>
      <c r="JTG286" s="208"/>
      <c r="JTH286" s="208"/>
      <c r="JTI286" s="208"/>
      <c r="JTJ286" s="208"/>
      <c r="JTK286" s="208"/>
      <c r="JTL286" s="208"/>
      <c r="JTM286" s="208"/>
      <c r="JTN286" s="208"/>
      <c r="JTO286" s="208"/>
      <c r="JTP286" s="208"/>
      <c r="JTQ286" s="208"/>
      <c r="JTR286" s="208"/>
      <c r="JTS286" s="208"/>
      <c r="JTT286" s="208"/>
      <c r="JTU286" s="208"/>
      <c r="JTV286" s="208"/>
      <c r="JTW286" s="208"/>
      <c r="JTX286" s="208"/>
      <c r="JTY286" s="208"/>
      <c r="JTZ286" s="208"/>
      <c r="JUA286" s="208"/>
      <c r="JUB286" s="208"/>
      <c r="JUC286" s="208"/>
      <c r="JUD286" s="208"/>
      <c r="JUE286" s="208"/>
      <c r="JUF286" s="208"/>
      <c r="JUG286" s="208"/>
      <c r="JUH286" s="208"/>
      <c r="JUI286" s="208"/>
      <c r="JUJ286" s="208"/>
      <c r="JUK286" s="208"/>
      <c r="JUL286" s="208"/>
      <c r="JUM286" s="208"/>
      <c r="JUN286" s="208"/>
      <c r="JUO286" s="208"/>
      <c r="JUP286" s="208"/>
      <c r="JUQ286" s="208"/>
      <c r="JUR286" s="208"/>
      <c r="JUS286" s="208"/>
      <c r="JUT286" s="208"/>
      <c r="JUU286" s="208"/>
      <c r="JUV286" s="208"/>
      <c r="JUW286" s="208"/>
      <c r="JUX286" s="208"/>
      <c r="JUY286" s="208"/>
      <c r="JUZ286" s="208"/>
      <c r="JVA286" s="208"/>
      <c r="JVB286" s="208"/>
      <c r="JVC286" s="208"/>
      <c r="JVD286" s="208"/>
      <c r="JVE286" s="208"/>
      <c r="JVF286" s="208"/>
      <c r="JVG286" s="208"/>
      <c r="JVH286" s="208"/>
      <c r="JVI286" s="208"/>
      <c r="JVJ286" s="208"/>
      <c r="JVK286" s="208"/>
      <c r="JVL286" s="208"/>
      <c r="JVM286" s="208"/>
      <c r="JVN286" s="208"/>
      <c r="JVO286" s="208"/>
      <c r="JVP286" s="208"/>
      <c r="JVQ286" s="208"/>
      <c r="JVR286" s="208"/>
      <c r="JVS286" s="208"/>
      <c r="JVT286" s="208"/>
      <c r="JVU286" s="208"/>
      <c r="JVV286" s="208"/>
      <c r="JVW286" s="208"/>
      <c r="JVX286" s="208"/>
      <c r="JVY286" s="208"/>
      <c r="JVZ286" s="208"/>
      <c r="JWA286" s="208"/>
      <c r="JWB286" s="208"/>
      <c r="JWC286" s="208"/>
      <c r="JWD286" s="208"/>
      <c r="JWE286" s="208"/>
      <c r="JWF286" s="208"/>
      <c r="JWG286" s="208"/>
      <c r="JWH286" s="208"/>
      <c r="JWI286" s="208"/>
      <c r="JWJ286" s="208"/>
      <c r="JWK286" s="208"/>
      <c r="JWL286" s="208"/>
      <c r="JWM286" s="208"/>
      <c r="JWN286" s="208"/>
      <c r="JWO286" s="208"/>
      <c r="JWP286" s="208"/>
      <c r="JWQ286" s="208"/>
      <c r="JWR286" s="208"/>
      <c r="JWS286" s="208"/>
      <c r="JWT286" s="208"/>
      <c r="JWU286" s="208"/>
      <c r="JWV286" s="208"/>
      <c r="JWW286" s="208"/>
      <c r="JWX286" s="208"/>
      <c r="JWY286" s="208"/>
      <c r="JWZ286" s="208"/>
      <c r="JXA286" s="208"/>
      <c r="JXB286" s="208"/>
      <c r="JXC286" s="208"/>
      <c r="JXD286" s="208"/>
      <c r="JXE286" s="208"/>
      <c r="JXF286" s="208"/>
      <c r="JXG286" s="208"/>
      <c r="JXH286" s="208"/>
      <c r="JXI286" s="208"/>
      <c r="JXJ286" s="208"/>
      <c r="JXK286" s="208"/>
      <c r="JXL286" s="208"/>
      <c r="JXM286" s="208"/>
      <c r="JXN286" s="208"/>
      <c r="JXO286" s="208"/>
      <c r="JXP286" s="208"/>
      <c r="JXQ286" s="208"/>
      <c r="JXR286" s="208"/>
      <c r="JXS286" s="208"/>
      <c r="JXT286" s="208"/>
      <c r="JXU286" s="208"/>
      <c r="JXV286" s="208"/>
      <c r="JXW286" s="208"/>
      <c r="JXX286" s="208"/>
      <c r="JXY286" s="208"/>
      <c r="JXZ286" s="208"/>
      <c r="JYA286" s="208"/>
      <c r="JYB286" s="208"/>
      <c r="JYC286" s="208"/>
      <c r="JYD286" s="208"/>
      <c r="JYE286" s="208"/>
      <c r="JYF286" s="208"/>
      <c r="JYG286" s="208"/>
      <c r="JYH286" s="208"/>
      <c r="JYI286" s="208"/>
      <c r="JYJ286" s="208"/>
      <c r="JYK286" s="208"/>
      <c r="JYL286" s="208"/>
      <c r="JYM286" s="208"/>
      <c r="JYN286" s="208"/>
      <c r="JYO286" s="208"/>
      <c r="JYP286" s="208"/>
      <c r="JYQ286" s="208"/>
      <c r="JYR286" s="208"/>
      <c r="JYS286" s="208"/>
      <c r="JYT286" s="208"/>
      <c r="JYU286" s="208"/>
      <c r="JYV286" s="208"/>
      <c r="JYW286" s="208"/>
      <c r="JYX286" s="208"/>
      <c r="JYY286" s="208"/>
      <c r="JYZ286" s="208"/>
      <c r="JZA286" s="208"/>
      <c r="JZB286" s="208"/>
      <c r="JZC286" s="208"/>
      <c r="JZD286" s="208"/>
      <c r="JZE286" s="208"/>
      <c r="JZF286" s="208"/>
      <c r="JZG286" s="208"/>
      <c r="JZH286" s="208"/>
      <c r="JZI286" s="208"/>
      <c r="JZJ286" s="208"/>
      <c r="JZK286" s="208"/>
      <c r="JZL286" s="208"/>
      <c r="JZM286" s="208"/>
      <c r="JZN286" s="208"/>
      <c r="JZO286" s="208"/>
      <c r="JZP286" s="208"/>
      <c r="JZQ286" s="208"/>
      <c r="JZR286" s="208"/>
      <c r="JZS286" s="208"/>
      <c r="JZT286" s="208"/>
      <c r="JZU286" s="208"/>
      <c r="JZV286" s="208"/>
      <c r="JZW286" s="208"/>
      <c r="JZX286" s="208"/>
      <c r="JZY286" s="208"/>
      <c r="JZZ286" s="208"/>
      <c r="KAA286" s="208"/>
      <c r="KAB286" s="208"/>
      <c r="KAC286" s="208"/>
      <c r="KAD286" s="208"/>
      <c r="KAE286" s="208"/>
      <c r="KAF286" s="208"/>
      <c r="KAG286" s="208"/>
      <c r="KAH286" s="208"/>
      <c r="KAI286" s="208"/>
      <c r="KAJ286" s="208"/>
      <c r="KAK286" s="208"/>
      <c r="KAL286" s="208"/>
      <c r="KAM286" s="208"/>
      <c r="KAN286" s="208"/>
      <c r="KAO286" s="208"/>
      <c r="KAP286" s="208"/>
      <c r="KAQ286" s="208"/>
      <c r="KAR286" s="208"/>
      <c r="KAS286" s="208"/>
      <c r="KAT286" s="208"/>
      <c r="KAU286" s="208"/>
      <c r="KAV286" s="208"/>
      <c r="KAW286" s="208"/>
      <c r="KAX286" s="208"/>
      <c r="KAY286" s="208"/>
      <c r="KAZ286" s="208"/>
      <c r="KBA286" s="208"/>
      <c r="KBB286" s="208"/>
      <c r="KBC286" s="208"/>
      <c r="KBD286" s="208"/>
      <c r="KBE286" s="208"/>
      <c r="KBF286" s="208"/>
      <c r="KBG286" s="208"/>
      <c r="KBH286" s="208"/>
      <c r="KBI286" s="208"/>
      <c r="KBJ286" s="208"/>
      <c r="KBK286" s="208"/>
      <c r="KBL286" s="208"/>
      <c r="KBM286" s="208"/>
      <c r="KBN286" s="208"/>
      <c r="KBO286" s="208"/>
      <c r="KBP286" s="208"/>
      <c r="KBQ286" s="208"/>
      <c r="KBR286" s="208"/>
      <c r="KBS286" s="208"/>
      <c r="KBT286" s="208"/>
      <c r="KBU286" s="208"/>
      <c r="KBV286" s="208"/>
      <c r="KBW286" s="208"/>
      <c r="KBX286" s="208"/>
      <c r="KBY286" s="208"/>
      <c r="KBZ286" s="208"/>
      <c r="KCA286" s="208"/>
      <c r="KCB286" s="208"/>
      <c r="KCC286" s="208"/>
      <c r="KCD286" s="208"/>
      <c r="KCE286" s="208"/>
      <c r="KCF286" s="208"/>
      <c r="KCG286" s="208"/>
      <c r="KCH286" s="208"/>
      <c r="KCI286" s="208"/>
      <c r="KCJ286" s="208"/>
      <c r="KCK286" s="208"/>
      <c r="KCL286" s="208"/>
      <c r="KCM286" s="208"/>
      <c r="KCN286" s="208"/>
      <c r="KCO286" s="208"/>
      <c r="KCP286" s="208"/>
      <c r="KCQ286" s="208"/>
      <c r="KCR286" s="208"/>
      <c r="KCS286" s="208"/>
      <c r="KCT286" s="208"/>
      <c r="KCU286" s="208"/>
      <c r="KCV286" s="208"/>
      <c r="KCW286" s="208"/>
      <c r="KCX286" s="208"/>
      <c r="KCY286" s="208"/>
      <c r="KCZ286" s="208"/>
      <c r="KDA286" s="208"/>
      <c r="KDB286" s="208"/>
      <c r="KDC286" s="208"/>
      <c r="KDD286" s="208"/>
      <c r="KDE286" s="208"/>
      <c r="KDF286" s="208"/>
      <c r="KDG286" s="208"/>
      <c r="KDH286" s="208"/>
      <c r="KDI286" s="208"/>
      <c r="KDJ286" s="208"/>
      <c r="KDK286" s="208"/>
      <c r="KDL286" s="208"/>
      <c r="KDM286" s="208"/>
      <c r="KDN286" s="208"/>
      <c r="KDO286" s="208"/>
      <c r="KDP286" s="208"/>
      <c r="KDQ286" s="208"/>
      <c r="KDR286" s="208"/>
      <c r="KDS286" s="208"/>
      <c r="KDT286" s="208"/>
      <c r="KDU286" s="208"/>
      <c r="KDV286" s="208"/>
      <c r="KDW286" s="208"/>
      <c r="KDX286" s="208"/>
      <c r="KDY286" s="208"/>
      <c r="KDZ286" s="208"/>
      <c r="KEA286" s="208"/>
      <c r="KEB286" s="208"/>
      <c r="KEC286" s="208"/>
      <c r="KED286" s="208"/>
      <c r="KEE286" s="208"/>
      <c r="KEF286" s="208"/>
      <c r="KEG286" s="208"/>
      <c r="KEH286" s="208"/>
      <c r="KEI286" s="208"/>
      <c r="KEJ286" s="208"/>
      <c r="KEK286" s="208"/>
      <c r="KEL286" s="208"/>
      <c r="KEM286" s="208"/>
      <c r="KEN286" s="208"/>
      <c r="KEO286" s="208"/>
      <c r="KEP286" s="208"/>
      <c r="KEQ286" s="208"/>
      <c r="KER286" s="208"/>
      <c r="KES286" s="208"/>
      <c r="KET286" s="208"/>
      <c r="KEU286" s="208"/>
      <c r="KEV286" s="208"/>
      <c r="KEW286" s="208"/>
      <c r="KEX286" s="208"/>
      <c r="KEY286" s="208"/>
      <c r="KEZ286" s="208"/>
      <c r="KFA286" s="208"/>
      <c r="KFB286" s="208"/>
      <c r="KFC286" s="208"/>
      <c r="KFD286" s="208"/>
      <c r="KFE286" s="208"/>
      <c r="KFF286" s="208"/>
      <c r="KFG286" s="208"/>
      <c r="KFH286" s="208"/>
      <c r="KFI286" s="208"/>
      <c r="KFJ286" s="208"/>
      <c r="KFK286" s="208"/>
      <c r="KFL286" s="208"/>
      <c r="KFM286" s="208"/>
      <c r="KFN286" s="208"/>
      <c r="KFO286" s="208"/>
      <c r="KFP286" s="208"/>
      <c r="KFQ286" s="208"/>
      <c r="KFR286" s="208"/>
      <c r="KFS286" s="208"/>
      <c r="KFT286" s="208"/>
      <c r="KFU286" s="208"/>
      <c r="KFV286" s="208"/>
      <c r="KFW286" s="208"/>
      <c r="KFX286" s="208"/>
      <c r="KFY286" s="208"/>
      <c r="KFZ286" s="208"/>
      <c r="KGA286" s="208"/>
      <c r="KGB286" s="208"/>
      <c r="KGC286" s="208"/>
      <c r="KGD286" s="208"/>
      <c r="KGE286" s="208"/>
      <c r="KGF286" s="208"/>
      <c r="KGG286" s="208"/>
      <c r="KGH286" s="208"/>
      <c r="KGI286" s="208"/>
      <c r="KGJ286" s="208"/>
      <c r="KGK286" s="208"/>
      <c r="KGL286" s="208"/>
      <c r="KGM286" s="208"/>
      <c r="KGN286" s="208"/>
      <c r="KGO286" s="208"/>
      <c r="KGP286" s="208"/>
      <c r="KGQ286" s="208"/>
      <c r="KGR286" s="208"/>
      <c r="KGS286" s="208"/>
      <c r="KGT286" s="208"/>
      <c r="KGU286" s="208"/>
      <c r="KGV286" s="208"/>
      <c r="KGW286" s="208"/>
      <c r="KGX286" s="208"/>
      <c r="KGY286" s="208"/>
      <c r="KGZ286" s="208"/>
      <c r="KHA286" s="208"/>
      <c r="KHB286" s="208"/>
      <c r="KHC286" s="208"/>
      <c r="KHD286" s="208"/>
      <c r="KHE286" s="208"/>
      <c r="KHF286" s="208"/>
      <c r="KHG286" s="208"/>
      <c r="KHH286" s="208"/>
      <c r="KHI286" s="208"/>
      <c r="KHJ286" s="208"/>
      <c r="KHK286" s="208"/>
      <c r="KHL286" s="208"/>
      <c r="KHM286" s="208"/>
      <c r="KHN286" s="208"/>
      <c r="KHO286" s="208"/>
      <c r="KHP286" s="208"/>
      <c r="KHQ286" s="208"/>
      <c r="KHR286" s="208"/>
      <c r="KHS286" s="208"/>
      <c r="KHT286" s="208"/>
      <c r="KHU286" s="208"/>
      <c r="KHV286" s="208"/>
      <c r="KHW286" s="208"/>
      <c r="KHX286" s="208"/>
      <c r="KHY286" s="208"/>
      <c r="KHZ286" s="208"/>
      <c r="KIA286" s="208"/>
      <c r="KIB286" s="208"/>
      <c r="KIC286" s="208"/>
      <c r="KID286" s="208"/>
      <c r="KIE286" s="208"/>
      <c r="KIF286" s="208"/>
      <c r="KIG286" s="208"/>
      <c r="KIH286" s="208"/>
      <c r="KII286" s="208"/>
      <c r="KIJ286" s="208"/>
      <c r="KIK286" s="208"/>
      <c r="KIL286" s="208"/>
      <c r="KIM286" s="208"/>
      <c r="KIN286" s="208"/>
      <c r="KIO286" s="208"/>
      <c r="KIP286" s="208"/>
      <c r="KIQ286" s="208"/>
      <c r="KIR286" s="208"/>
      <c r="KIS286" s="208"/>
      <c r="KIT286" s="208"/>
      <c r="KIU286" s="208"/>
      <c r="KIV286" s="208"/>
      <c r="KIW286" s="208"/>
      <c r="KIX286" s="208"/>
      <c r="KIY286" s="208"/>
      <c r="KIZ286" s="208"/>
      <c r="KJA286" s="208"/>
      <c r="KJB286" s="208"/>
      <c r="KJC286" s="208"/>
      <c r="KJD286" s="208"/>
      <c r="KJE286" s="208"/>
      <c r="KJF286" s="208"/>
      <c r="KJG286" s="208"/>
      <c r="KJH286" s="208"/>
      <c r="KJI286" s="208"/>
      <c r="KJJ286" s="208"/>
      <c r="KJK286" s="208"/>
      <c r="KJL286" s="208"/>
      <c r="KJM286" s="208"/>
      <c r="KJN286" s="208"/>
      <c r="KJO286" s="208"/>
      <c r="KJP286" s="208"/>
      <c r="KJQ286" s="208"/>
      <c r="KJR286" s="208"/>
      <c r="KJS286" s="208"/>
      <c r="KJT286" s="208"/>
      <c r="KJU286" s="208"/>
      <c r="KJV286" s="208"/>
      <c r="KJW286" s="208"/>
      <c r="KJX286" s="208"/>
      <c r="KJY286" s="208"/>
      <c r="KJZ286" s="208"/>
      <c r="KKA286" s="208"/>
      <c r="KKB286" s="208"/>
      <c r="KKC286" s="208"/>
      <c r="KKD286" s="208"/>
      <c r="KKE286" s="208"/>
      <c r="KKF286" s="208"/>
      <c r="KKG286" s="208"/>
      <c r="KKH286" s="208"/>
      <c r="KKI286" s="208"/>
      <c r="KKJ286" s="208"/>
      <c r="KKK286" s="208"/>
      <c r="KKL286" s="208"/>
      <c r="KKM286" s="208"/>
      <c r="KKN286" s="208"/>
      <c r="KKO286" s="208"/>
      <c r="KKP286" s="208"/>
      <c r="KKQ286" s="208"/>
      <c r="KKR286" s="208"/>
      <c r="KKS286" s="208"/>
      <c r="KKT286" s="208"/>
      <c r="KKU286" s="208"/>
      <c r="KKV286" s="208"/>
      <c r="KKW286" s="208"/>
      <c r="KKX286" s="208"/>
      <c r="KKY286" s="208"/>
      <c r="KKZ286" s="208"/>
      <c r="KLA286" s="208"/>
      <c r="KLB286" s="208"/>
      <c r="KLC286" s="208"/>
      <c r="KLD286" s="208"/>
      <c r="KLE286" s="208"/>
      <c r="KLF286" s="208"/>
      <c r="KLG286" s="208"/>
      <c r="KLH286" s="208"/>
      <c r="KLI286" s="208"/>
      <c r="KLJ286" s="208"/>
      <c r="KLK286" s="208"/>
      <c r="KLL286" s="208"/>
      <c r="KLM286" s="208"/>
      <c r="KLN286" s="208"/>
      <c r="KLO286" s="208"/>
      <c r="KLP286" s="208"/>
      <c r="KLQ286" s="208"/>
      <c r="KLR286" s="208"/>
      <c r="KLS286" s="208"/>
      <c r="KLT286" s="208"/>
      <c r="KLU286" s="208"/>
      <c r="KLV286" s="208"/>
      <c r="KLW286" s="208"/>
      <c r="KLX286" s="208"/>
      <c r="KLY286" s="208"/>
      <c r="KLZ286" s="208"/>
      <c r="KMA286" s="208"/>
      <c r="KMB286" s="208"/>
      <c r="KMC286" s="208"/>
      <c r="KMD286" s="208"/>
      <c r="KME286" s="208"/>
      <c r="KMF286" s="208"/>
      <c r="KMG286" s="208"/>
      <c r="KMH286" s="208"/>
      <c r="KMI286" s="208"/>
      <c r="KMJ286" s="208"/>
      <c r="KMK286" s="208"/>
      <c r="KML286" s="208"/>
      <c r="KMM286" s="208"/>
      <c r="KMN286" s="208"/>
      <c r="KMO286" s="208"/>
      <c r="KMP286" s="208"/>
      <c r="KMQ286" s="208"/>
      <c r="KMR286" s="208"/>
      <c r="KMS286" s="208"/>
      <c r="KMT286" s="208"/>
      <c r="KMU286" s="208"/>
      <c r="KMV286" s="208"/>
      <c r="KMW286" s="208"/>
      <c r="KMX286" s="208"/>
      <c r="KMY286" s="208"/>
      <c r="KMZ286" s="208"/>
      <c r="KNA286" s="208"/>
      <c r="KNB286" s="208"/>
      <c r="KNC286" s="208"/>
      <c r="KND286" s="208"/>
      <c r="KNE286" s="208"/>
      <c r="KNF286" s="208"/>
      <c r="KNG286" s="208"/>
      <c r="KNH286" s="208"/>
      <c r="KNI286" s="208"/>
      <c r="KNJ286" s="208"/>
      <c r="KNK286" s="208"/>
      <c r="KNL286" s="208"/>
      <c r="KNM286" s="208"/>
      <c r="KNN286" s="208"/>
      <c r="KNO286" s="208"/>
      <c r="KNP286" s="208"/>
      <c r="KNQ286" s="208"/>
      <c r="KNR286" s="208"/>
      <c r="KNS286" s="208"/>
      <c r="KNT286" s="208"/>
      <c r="KNU286" s="208"/>
      <c r="KNV286" s="208"/>
      <c r="KNW286" s="208"/>
      <c r="KNX286" s="208"/>
      <c r="KNY286" s="208"/>
      <c r="KNZ286" s="208"/>
      <c r="KOA286" s="208"/>
      <c r="KOB286" s="208"/>
      <c r="KOC286" s="208"/>
      <c r="KOD286" s="208"/>
      <c r="KOE286" s="208"/>
      <c r="KOF286" s="208"/>
      <c r="KOG286" s="208"/>
      <c r="KOH286" s="208"/>
      <c r="KOI286" s="208"/>
      <c r="KOJ286" s="208"/>
      <c r="KOK286" s="208"/>
      <c r="KOL286" s="208"/>
      <c r="KOM286" s="208"/>
      <c r="KON286" s="208"/>
      <c r="KOO286" s="208"/>
      <c r="KOP286" s="208"/>
      <c r="KOQ286" s="208"/>
      <c r="KOR286" s="208"/>
      <c r="KOS286" s="208"/>
      <c r="KOT286" s="208"/>
      <c r="KOU286" s="208"/>
      <c r="KOV286" s="208"/>
      <c r="KOW286" s="208"/>
      <c r="KOX286" s="208"/>
      <c r="KOY286" s="208"/>
      <c r="KOZ286" s="208"/>
      <c r="KPA286" s="208"/>
      <c r="KPB286" s="208"/>
      <c r="KPC286" s="208"/>
      <c r="KPD286" s="208"/>
      <c r="KPE286" s="208"/>
      <c r="KPF286" s="208"/>
      <c r="KPG286" s="208"/>
      <c r="KPH286" s="208"/>
      <c r="KPI286" s="208"/>
      <c r="KPJ286" s="208"/>
      <c r="KPK286" s="208"/>
      <c r="KPL286" s="208"/>
      <c r="KPM286" s="208"/>
      <c r="KPN286" s="208"/>
      <c r="KPO286" s="208"/>
      <c r="KPP286" s="208"/>
      <c r="KPQ286" s="208"/>
      <c r="KPR286" s="208"/>
      <c r="KPS286" s="208"/>
      <c r="KPT286" s="208"/>
      <c r="KPU286" s="208"/>
      <c r="KPV286" s="208"/>
      <c r="KPW286" s="208"/>
      <c r="KPX286" s="208"/>
      <c r="KPY286" s="208"/>
      <c r="KPZ286" s="208"/>
      <c r="KQA286" s="208"/>
      <c r="KQB286" s="208"/>
      <c r="KQC286" s="208"/>
      <c r="KQD286" s="208"/>
      <c r="KQE286" s="208"/>
      <c r="KQF286" s="208"/>
      <c r="KQG286" s="208"/>
      <c r="KQH286" s="208"/>
      <c r="KQI286" s="208"/>
      <c r="KQJ286" s="208"/>
      <c r="KQK286" s="208"/>
      <c r="KQL286" s="208"/>
      <c r="KQM286" s="208"/>
      <c r="KQN286" s="208"/>
      <c r="KQO286" s="208"/>
      <c r="KQP286" s="208"/>
      <c r="KQQ286" s="208"/>
      <c r="KQR286" s="208"/>
      <c r="KQS286" s="208"/>
      <c r="KQT286" s="208"/>
      <c r="KQU286" s="208"/>
      <c r="KQV286" s="208"/>
      <c r="KQW286" s="208"/>
      <c r="KQX286" s="208"/>
      <c r="KQY286" s="208"/>
      <c r="KQZ286" s="208"/>
      <c r="KRA286" s="208"/>
      <c r="KRB286" s="208"/>
      <c r="KRC286" s="208"/>
      <c r="KRD286" s="208"/>
      <c r="KRE286" s="208"/>
      <c r="KRF286" s="208"/>
      <c r="KRG286" s="208"/>
      <c r="KRH286" s="208"/>
      <c r="KRI286" s="208"/>
      <c r="KRJ286" s="208"/>
      <c r="KRK286" s="208"/>
      <c r="KRL286" s="208"/>
      <c r="KRM286" s="208"/>
      <c r="KRN286" s="208"/>
      <c r="KRO286" s="208"/>
      <c r="KRP286" s="208"/>
      <c r="KRQ286" s="208"/>
      <c r="KRR286" s="208"/>
      <c r="KRS286" s="208"/>
      <c r="KRT286" s="208"/>
      <c r="KRU286" s="208"/>
      <c r="KRV286" s="208"/>
      <c r="KRW286" s="208"/>
      <c r="KRX286" s="208"/>
      <c r="KRY286" s="208"/>
      <c r="KRZ286" s="208"/>
      <c r="KSA286" s="208"/>
      <c r="KSB286" s="208"/>
      <c r="KSC286" s="208"/>
      <c r="KSD286" s="208"/>
      <c r="KSE286" s="208"/>
      <c r="KSF286" s="208"/>
      <c r="KSG286" s="208"/>
      <c r="KSH286" s="208"/>
      <c r="KSI286" s="208"/>
      <c r="KSJ286" s="208"/>
      <c r="KSK286" s="208"/>
      <c r="KSL286" s="208"/>
      <c r="KSM286" s="208"/>
      <c r="KSN286" s="208"/>
      <c r="KSO286" s="208"/>
      <c r="KSP286" s="208"/>
      <c r="KSQ286" s="208"/>
      <c r="KSR286" s="208"/>
      <c r="KSS286" s="208"/>
      <c r="KST286" s="208"/>
      <c r="KSU286" s="208"/>
      <c r="KSV286" s="208"/>
      <c r="KSW286" s="208"/>
      <c r="KSX286" s="208"/>
      <c r="KSY286" s="208"/>
      <c r="KSZ286" s="208"/>
      <c r="KTA286" s="208"/>
      <c r="KTB286" s="208"/>
      <c r="KTC286" s="208"/>
      <c r="KTD286" s="208"/>
      <c r="KTE286" s="208"/>
      <c r="KTF286" s="208"/>
      <c r="KTG286" s="208"/>
      <c r="KTH286" s="208"/>
      <c r="KTI286" s="208"/>
      <c r="KTJ286" s="208"/>
      <c r="KTK286" s="208"/>
      <c r="KTL286" s="208"/>
      <c r="KTM286" s="208"/>
      <c r="KTN286" s="208"/>
      <c r="KTO286" s="208"/>
      <c r="KTP286" s="208"/>
      <c r="KTQ286" s="208"/>
      <c r="KTR286" s="208"/>
      <c r="KTS286" s="208"/>
      <c r="KTT286" s="208"/>
      <c r="KTU286" s="208"/>
      <c r="KTV286" s="208"/>
      <c r="KTW286" s="208"/>
      <c r="KTX286" s="208"/>
      <c r="KTY286" s="208"/>
      <c r="KTZ286" s="208"/>
      <c r="KUA286" s="208"/>
      <c r="KUB286" s="208"/>
      <c r="KUC286" s="208"/>
      <c r="KUD286" s="208"/>
      <c r="KUE286" s="208"/>
      <c r="KUF286" s="208"/>
      <c r="KUG286" s="208"/>
      <c r="KUH286" s="208"/>
      <c r="KUI286" s="208"/>
      <c r="KUJ286" s="208"/>
      <c r="KUK286" s="208"/>
      <c r="KUL286" s="208"/>
      <c r="KUM286" s="208"/>
      <c r="KUN286" s="208"/>
      <c r="KUO286" s="208"/>
      <c r="KUP286" s="208"/>
      <c r="KUQ286" s="208"/>
      <c r="KUR286" s="208"/>
      <c r="KUS286" s="208"/>
      <c r="KUT286" s="208"/>
      <c r="KUU286" s="208"/>
      <c r="KUV286" s="208"/>
      <c r="KUW286" s="208"/>
      <c r="KUX286" s="208"/>
      <c r="KUY286" s="208"/>
      <c r="KUZ286" s="208"/>
      <c r="KVA286" s="208"/>
      <c r="KVB286" s="208"/>
      <c r="KVC286" s="208"/>
      <c r="KVD286" s="208"/>
      <c r="KVE286" s="208"/>
      <c r="KVF286" s="208"/>
      <c r="KVG286" s="208"/>
      <c r="KVH286" s="208"/>
      <c r="KVI286" s="208"/>
      <c r="KVJ286" s="208"/>
      <c r="KVK286" s="208"/>
      <c r="KVL286" s="208"/>
      <c r="KVM286" s="208"/>
      <c r="KVN286" s="208"/>
      <c r="KVO286" s="208"/>
      <c r="KVP286" s="208"/>
      <c r="KVQ286" s="208"/>
      <c r="KVR286" s="208"/>
      <c r="KVS286" s="208"/>
      <c r="KVT286" s="208"/>
      <c r="KVU286" s="208"/>
      <c r="KVV286" s="208"/>
      <c r="KVW286" s="208"/>
      <c r="KVX286" s="208"/>
      <c r="KVY286" s="208"/>
      <c r="KVZ286" s="208"/>
      <c r="KWA286" s="208"/>
      <c r="KWB286" s="208"/>
      <c r="KWC286" s="208"/>
      <c r="KWD286" s="208"/>
      <c r="KWE286" s="208"/>
      <c r="KWF286" s="208"/>
      <c r="KWG286" s="208"/>
      <c r="KWH286" s="208"/>
      <c r="KWI286" s="208"/>
      <c r="KWJ286" s="208"/>
      <c r="KWK286" s="208"/>
      <c r="KWL286" s="208"/>
      <c r="KWM286" s="208"/>
      <c r="KWN286" s="208"/>
      <c r="KWO286" s="208"/>
      <c r="KWP286" s="208"/>
      <c r="KWQ286" s="208"/>
      <c r="KWR286" s="208"/>
      <c r="KWS286" s="208"/>
      <c r="KWT286" s="208"/>
      <c r="KWU286" s="208"/>
      <c r="KWV286" s="208"/>
      <c r="KWW286" s="208"/>
      <c r="KWX286" s="208"/>
      <c r="KWY286" s="208"/>
      <c r="KWZ286" s="208"/>
      <c r="KXA286" s="208"/>
      <c r="KXB286" s="208"/>
      <c r="KXC286" s="208"/>
      <c r="KXD286" s="208"/>
      <c r="KXE286" s="208"/>
      <c r="KXF286" s="208"/>
      <c r="KXG286" s="208"/>
      <c r="KXH286" s="208"/>
      <c r="KXI286" s="208"/>
      <c r="KXJ286" s="208"/>
      <c r="KXK286" s="208"/>
      <c r="KXL286" s="208"/>
      <c r="KXM286" s="208"/>
      <c r="KXN286" s="208"/>
      <c r="KXO286" s="208"/>
      <c r="KXP286" s="208"/>
      <c r="KXQ286" s="208"/>
      <c r="KXR286" s="208"/>
      <c r="KXS286" s="208"/>
      <c r="KXT286" s="208"/>
      <c r="KXU286" s="208"/>
      <c r="KXV286" s="208"/>
      <c r="KXW286" s="208"/>
      <c r="KXX286" s="208"/>
      <c r="KXY286" s="208"/>
      <c r="KXZ286" s="208"/>
      <c r="KYA286" s="208"/>
      <c r="KYB286" s="208"/>
      <c r="KYC286" s="208"/>
      <c r="KYD286" s="208"/>
      <c r="KYE286" s="208"/>
      <c r="KYF286" s="208"/>
      <c r="KYG286" s="208"/>
      <c r="KYH286" s="208"/>
      <c r="KYI286" s="208"/>
      <c r="KYJ286" s="208"/>
      <c r="KYK286" s="208"/>
      <c r="KYL286" s="208"/>
      <c r="KYM286" s="208"/>
      <c r="KYN286" s="208"/>
      <c r="KYO286" s="208"/>
      <c r="KYP286" s="208"/>
      <c r="KYQ286" s="208"/>
      <c r="KYR286" s="208"/>
      <c r="KYS286" s="208"/>
      <c r="KYT286" s="208"/>
      <c r="KYU286" s="208"/>
      <c r="KYV286" s="208"/>
      <c r="KYW286" s="208"/>
      <c r="KYX286" s="208"/>
      <c r="KYY286" s="208"/>
      <c r="KYZ286" s="208"/>
      <c r="KZA286" s="208"/>
      <c r="KZB286" s="208"/>
      <c r="KZC286" s="208"/>
      <c r="KZD286" s="208"/>
      <c r="KZE286" s="208"/>
      <c r="KZF286" s="208"/>
      <c r="KZG286" s="208"/>
      <c r="KZH286" s="208"/>
      <c r="KZI286" s="208"/>
      <c r="KZJ286" s="208"/>
      <c r="KZK286" s="208"/>
      <c r="KZL286" s="208"/>
      <c r="KZM286" s="208"/>
      <c r="KZN286" s="208"/>
      <c r="KZO286" s="208"/>
      <c r="KZP286" s="208"/>
      <c r="KZQ286" s="208"/>
      <c r="KZR286" s="208"/>
      <c r="KZS286" s="208"/>
      <c r="KZT286" s="208"/>
      <c r="KZU286" s="208"/>
      <c r="KZV286" s="208"/>
      <c r="KZW286" s="208"/>
      <c r="KZX286" s="208"/>
      <c r="KZY286" s="208"/>
      <c r="KZZ286" s="208"/>
      <c r="LAA286" s="208"/>
      <c r="LAB286" s="208"/>
      <c r="LAC286" s="208"/>
      <c r="LAD286" s="208"/>
      <c r="LAE286" s="208"/>
      <c r="LAF286" s="208"/>
      <c r="LAG286" s="208"/>
      <c r="LAH286" s="208"/>
      <c r="LAI286" s="208"/>
      <c r="LAJ286" s="208"/>
      <c r="LAK286" s="208"/>
      <c r="LAL286" s="208"/>
      <c r="LAM286" s="208"/>
      <c r="LAN286" s="208"/>
      <c r="LAO286" s="208"/>
      <c r="LAP286" s="208"/>
      <c r="LAQ286" s="208"/>
      <c r="LAR286" s="208"/>
      <c r="LAS286" s="208"/>
      <c r="LAT286" s="208"/>
      <c r="LAU286" s="208"/>
      <c r="LAV286" s="208"/>
      <c r="LAW286" s="208"/>
      <c r="LAX286" s="208"/>
      <c r="LAY286" s="208"/>
      <c r="LAZ286" s="208"/>
      <c r="LBA286" s="208"/>
      <c r="LBB286" s="208"/>
      <c r="LBC286" s="208"/>
      <c r="LBD286" s="208"/>
      <c r="LBE286" s="208"/>
      <c r="LBF286" s="208"/>
      <c r="LBG286" s="208"/>
      <c r="LBH286" s="208"/>
      <c r="LBI286" s="208"/>
      <c r="LBJ286" s="208"/>
      <c r="LBK286" s="208"/>
      <c r="LBL286" s="208"/>
      <c r="LBM286" s="208"/>
      <c r="LBN286" s="208"/>
      <c r="LBO286" s="208"/>
      <c r="LBP286" s="208"/>
      <c r="LBQ286" s="208"/>
      <c r="LBR286" s="208"/>
      <c r="LBS286" s="208"/>
      <c r="LBT286" s="208"/>
      <c r="LBU286" s="208"/>
      <c r="LBV286" s="208"/>
      <c r="LBW286" s="208"/>
      <c r="LBX286" s="208"/>
      <c r="LBY286" s="208"/>
      <c r="LBZ286" s="208"/>
      <c r="LCA286" s="208"/>
      <c r="LCB286" s="208"/>
      <c r="LCC286" s="208"/>
      <c r="LCD286" s="208"/>
      <c r="LCE286" s="208"/>
      <c r="LCF286" s="208"/>
      <c r="LCG286" s="208"/>
      <c r="LCH286" s="208"/>
      <c r="LCI286" s="208"/>
      <c r="LCJ286" s="208"/>
      <c r="LCK286" s="208"/>
      <c r="LCL286" s="208"/>
      <c r="LCM286" s="208"/>
      <c r="LCN286" s="208"/>
      <c r="LCO286" s="208"/>
      <c r="LCP286" s="208"/>
      <c r="LCQ286" s="208"/>
      <c r="LCR286" s="208"/>
      <c r="LCS286" s="208"/>
      <c r="LCT286" s="208"/>
      <c r="LCU286" s="208"/>
      <c r="LCV286" s="208"/>
      <c r="LCW286" s="208"/>
      <c r="LCX286" s="208"/>
      <c r="LCY286" s="208"/>
      <c r="LCZ286" s="208"/>
      <c r="LDA286" s="208"/>
      <c r="LDB286" s="208"/>
      <c r="LDC286" s="208"/>
      <c r="LDD286" s="208"/>
      <c r="LDE286" s="208"/>
      <c r="LDF286" s="208"/>
      <c r="LDG286" s="208"/>
      <c r="LDH286" s="208"/>
      <c r="LDI286" s="208"/>
      <c r="LDJ286" s="208"/>
      <c r="LDK286" s="208"/>
      <c r="LDL286" s="208"/>
      <c r="LDM286" s="208"/>
      <c r="LDN286" s="208"/>
      <c r="LDO286" s="208"/>
      <c r="LDP286" s="208"/>
      <c r="LDQ286" s="208"/>
      <c r="LDR286" s="208"/>
      <c r="LDS286" s="208"/>
      <c r="LDT286" s="208"/>
      <c r="LDU286" s="208"/>
      <c r="LDV286" s="208"/>
      <c r="LDW286" s="208"/>
      <c r="LDX286" s="208"/>
      <c r="LDY286" s="208"/>
      <c r="LDZ286" s="208"/>
      <c r="LEA286" s="208"/>
      <c r="LEB286" s="208"/>
      <c r="LEC286" s="208"/>
      <c r="LED286" s="208"/>
      <c r="LEE286" s="208"/>
      <c r="LEF286" s="208"/>
      <c r="LEG286" s="208"/>
      <c r="LEH286" s="208"/>
      <c r="LEI286" s="208"/>
      <c r="LEJ286" s="208"/>
      <c r="LEK286" s="208"/>
      <c r="LEL286" s="208"/>
      <c r="LEM286" s="208"/>
      <c r="LEN286" s="208"/>
      <c r="LEO286" s="208"/>
      <c r="LEP286" s="208"/>
      <c r="LEQ286" s="208"/>
      <c r="LER286" s="208"/>
      <c r="LES286" s="208"/>
      <c r="LET286" s="208"/>
      <c r="LEU286" s="208"/>
      <c r="LEV286" s="208"/>
      <c r="LEW286" s="208"/>
      <c r="LEX286" s="208"/>
      <c r="LEY286" s="208"/>
      <c r="LEZ286" s="208"/>
      <c r="LFA286" s="208"/>
      <c r="LFB286" s="208"/>
      <c r="LFC286" s="208"/>
      <c r="LFD286" s="208"/>
      <c r="LFE286" s="208"/>
      <c r="LFF286" s="208"/>
      <c r="LFG286" s="208"/>
      <c r="LFH286" s="208"/>
      <c r="LFI286" s="208"/>
      <c r="LFJ286" s="208"/>
      <c r="LFK286" s="208"/>
      <c r="LFL286" s="208"/>
      <c r="LFM286" s="208"/>
      <c r="LFN286" s="208"/>
      <c r="LFO286" s="208"/>
      <c r="LFP286" s="208"/>
      <c r="LFQ286" s="208"/>
      <c r="LFR286" s="208"/>
      <c r="LFS286" s="208"/>
      <c r="LFT286" s="208"/>
      <c r="LFU286" s="208"/>
      <c r="LFV286" s="208"/>
      <c r="LFW286" s="208"/>
      <c r="LFX286" s="208"/>
      <c r="LFY286" s="208"/>
      <c r="LFZ286" s="208"/>
      <c r="LGA286" s="208"/>
      <c r="LGB286" s="208"/>
      <c r="LGC286" s="208"/>
      <c r="LGD286" s="208"/>
      <c r="LGE286" s="208"/>
      <c r="LGF286" s="208"/>
      <c r="LGG286" s="208"/>
      <c r="LGH286" s="208"/>
      <c r="LGI286" s="208"/>
      <c r="LGJ286" s="208"/>
      <c r="LGK286" s="208"/>
      <c r="LGL286" s="208"/>
      <c r="LGM286" s="208"/>
      <c r="LGN286" s="208"/>
      <c r="LGO286" s="208"/>
      <c r="LGP286" s="208"/>
      <c r="LGQ286" s="208"/>
      <c r="LGR286" s="208"/>
      <c r="LGS286" s="208"/>
      <c r="LGT286" s="208"/>
      <c r="LGU286" s="208"/>
      <c r="LGV286" s="208"/>
      <c r="LGW286" s="208"/>
      <c r="LGX286" s="208"/>
      <c r="LGY286" s="208"/>
      <c r="LGZ286" s="208"/>
      <c r="LHA286" s="208"/>
      <c r="LHB286" s="208"/>
      <c r="LHC286" s="208"/>
      <c r="LHD286" s="208"/>
      <c r="LHE286" s="208"/>
      <c r="LHF286" s="208"/>
      <c r="LHG286" s="208"/>
      <c r="LHH286" s="208"/>
      <c r="LHI286" s="208"/>
      <c r="LHJ286" s="208"/>
      <c r="LHK286" s="208"/>
      <c r="LHL286" s="208"/>
      <c r="LHM286" s="208"/>
      <c r="LHN286" s="208"/>
      <c r="LHO286" s="208"/>
      <c r="LHP286" s="208"/>
      <c r="LHQ286" s="208"/>
      <c r="LHR286" s="208"/>
      <c r="LHS286" s="208"/>
      <c r="LHT286" s="208"/>
      <c r="LHU286" s="208"/>
      <c r="LHV286" s="208"/>
      <c r="LHW286" s="208"/>
      <c r="LHX286" s="208"/>
      <c r="LHY286" s="208"/>
      <c r="LHZ286" s="208"/>
      <c r="LIA286" s="208"/>
      <c r="LIB286" s="208"/>
      <c r="LIC286" s="208"/>
      <c r="LID286" s="208"/>
      <c r="LIE286" s="208"/>
      <c r="LIF286" s="208"/>
      <c r="LIG286" s="208"/>
      <c r="LIH286" s="208"/>
      <c r="LII286" s="208"/>
      <c r="LIJ286" s="208"/>
      <c r="LIK286" s="208"/>
      <c r="LIL286" s="208"/>
      <c r="LIM286" s="208"/>
      <c r="LIN286" s="208"/>
      <c r="LIO286" s="208"/>
      <c r="LIP286" s="208"/>
      <c r="LIQ286" s="208"/>
      <c r="LIR286" s="208"/>
      <c r="LIS286" s="208"/>
      <c r="LIT286" s="208"/>
      <c r="LIU286" s="208"/>
      <c r="LIV286" s="208"/>
      <c r="LIW286" s="208"/>
      <c r="LIX286" s="208"/>
      <c r="LIY286" s="208"/>
      <c r="LIZ286" s="208"/>
      <c r="LJA286" s="208"/>
      <c r="LJB286" s="208"/>
      <c r="LJC286" s="208"/>
      <c r="LJD286" s="208"/>
      <c r="LJE286" s="208"/>
      <c r="LJF286" s="208"/>
      <c r="LJG286" s="208"/>
      <c r="LJH286" s="208"/>
      <c r="LJI286" s="208"/>
      <c r="LJJ286" s="208"/>
      <c r="LJK286" s="208"/>
      <c r="LJL286" s="208"/>
      <c r="LJM286" s="208"/>
      <c r="LJN286" s="208"/>
      <c r="LJO286" s="208"/>
      <c r="LJP286" s="208"/>
      <c r="LJQ286" s="208"/>
      <c r="LJR286" s="208"/>
      <c r="LJS286" s="208"/>
      <c r="LJT286" s="208"/>
      <c r="LJU286" s="208"/>
      <c r="LJV286" s="208"/>
      <c r="LJW286" s="208"/>
      <c r="LJX286" s="208"/>
      <c r="LJY286" s="208"/>
      <c r="LJZ286" s="208"/>
      <c r="LKA286" s="208"/>
      <c r="LKB286" s="208"/>
      <c r="LKC286" s="208"/>
      <c r="LKD286" s="208"/>
      <c r="LKE286" s="208"/>
      <c r="LKF286" s="208"/>
      <c r="LKG286" s="208"/>
      <c r="LKH286" s="208"/>
      <c r="LKI286" s="208"/>
      <c r="LKJ286" s="208"/>
      <c r="LKK286" s="208"/>
      <c r="LKL286" s="208"/>
      <c r="LKM286" s="208"/>
      <c r="LKN286" s="208"/>
      <c r="LKO286" s="208"/>
      <c r="LKP286" s="208"/>
      <c r="LKQ286" s="208"/>
      <c r="LKR286" s="208"/>
      <c r="LKS286" s="208"/>
      <c r="LKT286" s="208"/>
      <c r="LKU286" s="208"/>
      <c r="LKV286" s="208"/>
      <c r="LKW286" s="208"/>
      <c r="LKX286" s="208"/>
      <c r="LKY286" s="208"/>
      <c r="LKZ286" s="208"/>
      <c r="LLA286" s="208"/>
      <c r="LLB286" s="208"/>
      <c r="LLC286" s="208"/>
      <c r="LLD286" s="208"/>
      <c r="LLE286" s="208"/>
      <c r="LLF286" s="208"/>
      <c r="LLG286" s="208"/>
      <c r="LLH286" s="208"/>
      <c r="LLI286" s="208"/>
      <c r="LLJ286" s="208"/>
      <c r="LLK286" s="208"/>
      <c r="LLL286" s="208"/>
      <c r="LLM286" s="208"/>
      <c r="LLN286" s="208"/>
      <c r="LLO286" s="208"/>
      <c r="LLP286" s="208"/>
      <c r="LLQ286" s="208"/>
      <c r="LLR286" s="208"/>
      <c r="LLS286" s="208"/>
      <c r="LLT286" s="208"/>
      <c r="LLU286" s="208"/>
      <c r="LLV286" s="208"/>
      <c r="LLW286" s="208"/>
      <c r="LLX286" s="208"/>
      <c r="LLY286" s="208"/>
      <c r="LLZ286" s="208"/>
      <c r="LMA286" s="208"/>
      <c r="LMB286" s="208"/>
      <c r="LMC286" s="208"/>
      <c r="LMD286" s="208"/>
      <c r="LME286" s="208"/>
      <c r="LMF286" s="208"/>
      <c r="LMG286" s="208"/>
      <c r="LMH286" s="208"/>
      <c r="LMI286" s="208"/>
      <c r="LMJ286" s="208"/>
      <c r="LMK286" s="208"/>
      <c r="LML286" s="208"/>
      <c r="LMM286" s="208"/>
      <c r="LMN286" s="208"/>
      <c r="LMO286" s="208"/>
      <c r="LMP286" s="208"/>
      <c r="LMQ286" s="208"/>
      <c r="LMR286" s="208"/>
      <c r="LMS286" s="208"/>
      <c r="LMT286" s="208"/>
      <c r="LMU286" s="208"/>
      <c r="LMV286" s="208"/>
      <c r="LMW286" s="208"/>
      <c r="LMX286" s="208"/>
      <c r="LMY286" s="208"/>
      <c r="LMZ286" s="208"/>
      <c r="LNA286" s="208"/>
      <c r="LNB286" s="208"/>
      <c r="LNC286" s="208"/>
      <c r="LND286" s="208"/>
      <c r="LNE286" s="208"/>
      <c r="LNF286" s="208"/>
      <c r="LNG286" s="208"/>
      <c r="LNH286" s="208"/>
      <c r="LNI286" s="208"/>
      <c r="LNJ286" s="208"/>
      <c r="LNK286" s="208"/>
      <c r="LNL286" s="208"/>
      <c r="LNM286" s="208"/>
      <c r="LNN286" s="208"/>
      <c r="LNO286" s="208"/>
      <c r="LNP286" s="208"/>
      <c r="LNQ286" s="208"/>
      <c r="LNR286" s="208"/>
      <c r="LNS286" s="208"/>
      <c r="LNT286" s="208"/>
      <c r="LNU286" s="208"/>
      <c r="LNV286" s="208"/>
      <c r="LNW286" s="208"/>
      <c r="LNX286" s="208"/>
      <c r="LNY286" s="208"/>
      <c r="LNZ286" s="208"/>
      <c r="LOA286" s="208"/>
      <c r="LOB286" s="208"/>
      <c r="LOC286" s="208"/>
      <c r="LOD286" s="208"/>
      <c r="LOE286" s="208"/>
      <c r="LOF286" s="208"/>
      <c r="LOG286" s="208"/>
      <c r="LOH286" s="208"/>
      <c r="LOI286" s="208"/>
      <c r="LOJ286" s="208"/>
      <c r="LOK286" s="208"/>
      <c r="LOL286" s="208"/>
      <c r="LOM286" s="208"/>
      <c r="LON286" s="208"/>
      <c r="LOO286" s="208"/>
      <c r="LOP286" s="208"/>
      <c r="LOQ286" s="208"/>
      <c r="LOR286" s="208"/>
      <c r="LOS286" s="208"/>
      <c r="LOT286" s="208"/>
      <c r="LOU286" s="208"/>
      <c r="LOV286" s="208"/>
      <c r="LOW286" s="208"/>
      <c r="LOX286" s="208"/>
      <c r="LOY286" s="208"/>
      <c r="LOZ286" s="208"/>
      <c r="LPA286" s="208"/>
      <c r="LPB286" s="208"/>
      <c r="LPC286" s="208"/>
      <c r="LPD286" s="208"/>
      <c r="LPE286" s="208"/>
      <c r="LPF286" s="208"/>
      <c r="LPG286" s="208"/>
      <c r="LPH286" s="208"/>
      <c r="LPI286" s="208"/>
      <c r="LPJ286" s="208"/>
      <c r="LPK286" s="208"/>
      <c r="LPL286" s="208"/>
      <c r="LPM286" s="208"/>
      <c r="LPN286" s="208"/>
      <c r="LPO286" s="208"/>
      <c r="LPP286" s="208"/>
      <c r="LPQ286" s="208"/>
      <c r="LPR286" s="208"/>
      <c r="LPS286" s="208"/>
      <c r="LPT286" s="208"/>
      <c r="LPU286" s="208"/>
      <c r="LPV286" s="208"/>
      <c r="LPW286" s="208"/>
      <c r="LPX286" s="208"/>
      <c r="LPY286" s="208"/>
      <c r="LPZ286" s="208"/>
      <c r="LQA286" s="208"/>
      <c r="LQB286" s="208"/>
      <c r="LQC286" s="208"/>
      <c r="LQD286" s="208"/>
      <c r="LQE286" s="208"/>
      <c r="LQF286" s="208"/>
      <c r="LQG286" s="208"/>
      <c r="LQH286" s="208"/>
      <c r="LQI286" s="208"/>
      <c r="LQJ286" s="208"/>
      <c r="LQK286" s="208"/>
      <c r="LQL286" s="208"/>
      <c r="LQM286" s="208"/>
      <c r="LQN286" s="208"/>
      <c r="LQO286" s="208"/>
      <c r="LQP286" s="208"/>
      <c r="LQQ286" s="208"/>
      <c r="LQR286" s="208"/>
      <c r="LQS286" s="208"/>
      <c r="LQT286" s="208"/>
      <c r="LQU286" s="208"/>
      <c r="LQV286" s="208"/>
      <c r="LQW286" s="208"/>
      <c r="LQX286" s="208"/>
      <c r="LQY286" s="208"/>
      <c r="LQZ286" s="208"/>
      <c r="LRA286" s="208"/>
      <c r="LRB286" s="208"/>
      <c r="LRC286" s="208"/>
      <c r="LRD286" s="208"/>
      <c r="LRE286" s="208"/>
      <c r="LRF286" s="208"/>
      <c r="LRG286" s="208"/>
      <c r="LRH286" s="208"/>
      <c r="LRI286" s="208"/>
      <c r="LRJ286" s="208"/>
      <c r="LRK286" s="208"/>
      <c r="LRL286" s="208"/>
      <c r="LRM286" s="208"/>
      <c r="LRN286" s="208"/>
      <c r="LRO286" s="208"/>
      <c r="LRP286" s="208"/>
      <c r="LRQ286" s="208"/>
      <c r="LRR286" s="208"/>
      <c r="LRS286" s="208"/>
      <c r="LRT286" s="208"/>
      <c r="LRU286" s="208"/>
      <c r="LRV286" s="208"/>
      <c r="LRW286" s="208"/>
      <c r="LRX286" s="208"/>
      <c r="LRY286" s="208"/>
      <c r="LRZ286" s="208"/>
      <c r="LSA286" s="208"/>
      <c r="LSB286" s="208"/>
      <c r="LSC286" s="208"/>
      <c r="LSD286" s="208"/>
      <c r="LSE286" s="208"/>
      <c r="LSF286" s="208"/>
      <c r="LSG286" s="208"/>
      <c r="LSH286" s="208"/>
      <c r="LSI286" s="208"/>
      <c r="LSJ286" s="208"/>
      <c r="LSK286" s="208"/>
      <c r="LSL286" s="208"/>
      <c r="LSM286" s="208"/>
      <c r="LSN286" s="208"/>
      <c r="LSO286" s="208"/>
      <c r="LSP286" s="208"/>
      <c r="LSQ286" s="208"/>
      <c r="LSR286" s="208"/>
      <c r="LSS286" s="208"/>
      <c r="LST286" s="208"/>
      <c r="LSU286" s="208"/>
      <c r="LSV286" s="208"/>
      <c r="LSW286" s="208"/>
      <c r="LSX286" s="208"/>
      <c r="LSY286" s="208"/>
      <c r="LSZ286" s="208"/>
      <c r="LTA286" s="208"/>
      <c r="LTB286" s="208"/>
      <c r="LTC286" s="208"/>
      <c r="LTD286" s="208"/>
      <c r="LTE286" s="208"/>
      <c r="LTF286" s="208"/>
      <c r="LTG286" s="208"/>
      <c r="LTH286" s="208"/>
      <c r="LTI286" s="208"/>
      <c r="LTJ286" s="208"/>
      <c r="LTK286" s="208"/>
      <c r="LTL286" s="208"/>
      <c r="LTM286" s="208"/>
      <c r="LTN286" s="208"/>
      <c r="LTO286" s="208"/>
      <c r="LTP286" s="208"/>
      <c r="LTQ286" s="208"/>
      <c r="LTR286" s="208"/>
      <c r="LTS286" s="208"/>
      <c r="LTT286" s="208"/>
      <c r="LTU286" s="208"/>
      <c r="LTV286" s="208"/>
      <c r="LTW286" s="208"/>
      <c r="LTX286" s="208"/>
      <c r="LTY286" s="208"/>
      <c r="LTZ286" s="208"/>
      <c r="LUA286" s="208"/>
      <c r="LUB286" s="208"/>
      <c r="LUC286" s="208"/>
      <c r="LUD286" s="208"/>
      <c r="LUE286" s="208"/>
      <c r="LUF286" s="208"/>
      <c r="LUG286" s="208"/>
      <c r="LUH286" s="208"/>
      <c r="LUI286" s="208"/>
      <c r="LUJ286" s="208"/>
      <c r="LUK286" s="208"/>
      <c r="LUL286" s="208"/>
      <c r="LUM286" s="208"/>
      <c r="LUN286" s="208"/>
      <c r="LUO286" s="208"/>
      <c r="LUP286" s="208"/>
      <c r="LUQ286" s="208"/>
      <c r="LUR286" s="208"/>
      <c r="LUS286" s="208"/>
      <c r="LUT286" s="208"/>
      <c r="LUU286" s="208"/>
      <c r="LUV286" s="208"/>
      <c r="LUW286" s="208"/>
      <c r="LUX286" s="208"/>
      <c r="LUY286" s="208"/>
      <c r="LUZ286" s="208"/>
      <c r="LVA286" s="208"/>
      <c r="LVB286" s="208"/>
      <c r="LVC286" s="208"/>
      <c r="LVD286" s="208"/>
      <c r="LVE286" s="208"/>
      <c r="LVF286" s="208"/>
      <c r="LVG286" s="208"/>
      <c r="LVH286" s="208"/>
      <c r="LVI286" s="208"/>
      <c r="LVJ286" s="208"/>
      <c r="LVK286" s="208"/>
      <c r="LVL286" s="208"/>
      <c r="LVM286" s="208"/>
      <c r="LVN286" s="208"/>
      <c r="LVO286" s="208"/>
      <c r="LVP286" s="208"/>
      <c r="LVQ286" s="208"/>
      <c r="LVR286" s="208"/>
      <c r="LVS286" s="208"/>
      <c r="LVT286" s="208"/>
      <c r="LVU286" s="208"/>
      <c r="LVV286" s="208"/>
      <c r="LVW286" s="208"/>
      <c r="LVX286" s="208"/>
      <c r="LVY286" s="208"/>
      <c r="LVZ286" s="208"/>
      <c r="LWA286" s="208"/>
      <c r="LWB286" s="208"/>
      <c r="LWC286" s="208"/>
      <c r="LWD286" s="208"/>
      <c r="LWE286" s="208"/>
      <c r="LWF286" s="208"/>
      <c r="LWG286" s="208"/>
      <c r="LWH286" s="208"/>
      <c r="LWI286" s="208"/>
      <c r="LWJ286" s="208"/>
      <c r="LWK286" s="208"/>
      <c r="LWL286" s="208"/>
      <c r="LWM286" s="208"/>
      <c r="LWN286" s="208"/>
      <c r="LWO286" s="208"/>
      <c r="LWP286" s="208"/>
      <c r="LWQ286" s="208"/>
      <c r="LWR286" s="208"/>
      <c r="LWS286" s="208"/>
      <c r="LWT286" s="208"/>
      <c r="LWU286" s="208"/>
      <c r="LWV286" s="208"/>
      <c r="LWW286" s="208"/>
      <c r="LWX286" s="208"/>
      <c r="LWY286" s="208"/>
      <c r="LWZ286" s="208"/>
      <c r="LXA286" s="208"/>
      <c r="LXB286" s="208"/>
      <c r="LXC286" s="208"/>
      <c r="LXD286" s="208"/>
      <c r="LXE286" s="208"/>
      <c r="LXF286" s="208"/>
      <c r="LXG286" s="208"/>
      <c r="LXH286" s="208"/>
      <c r="LXI286" s="208"/>
      <c r="LXJ286" s="208"/>
      <c r="LXK286" s="208"/>
      <c r="LXL286" s="208"/>
      <c r="LXM286" s="208"/>
      <c r="LXN286" s="208"/>
      <c r="LXO286" s="208"/>
      <c r="LXP286" s="208"/>
      <c r="LXQ286" s="208"/>
      <c r="LXR286" s="208"/>
      <c r="LXS286" s="208"/>
      <c r="LXT286" s="208"/>
      <c r="LXU286" s="208"/>
      <c r="LXV286" s="208"/>
      <c r="LXW286" s="208"/>
      <c r="LXX286" s="208"/>
      <c r="LXY286" s="208"/>
      <c r="LXZ286" s="208"/>
      <c r="LYA286" s="208"/>
      <c r="LYB286" s="208"/>
      <c r="LYC286" s="208"/>
      <c r="LYD286" s="208"/>
      <c r="LYE286" s="208"/>
      <c r="LYF286" s="208"/>
      <c r="LYG286" s="208"/>
      <c r="LYH286" s="208"/>
      <c r="LYI286" s="208"/>
      <c r="LYJ286" s="208"/>
      <c r="LYK286" s="208"/>
      <c r="LYL286" s="208"/>
      <c r="LYM286" s="208"/>
      <c r="LYN286" s="208"/>
      <c r="LYO286" s="208"/>
      <c r="LYP286" s="208"/>
      <c r="LYQ286" s="208"/>
      <c r="LYR286" s="208"/>
      <c r="LYS286" s="208"/>
      <c r="LYT286" s="208"/>
      <c r="LYU286" s="208"/>
      <c r="LYV286" s="208"/>
      <c r="LYW286" s="208"/>
      <c r="LYX286" s="208"/>
      <c r="LYY286" s="208"/>
      <c r="LYZ286" s="208"/>
      <c r="LZA286" s="208"/>
      <c r="LZB286" s="208"/>
      <c r="LZC286" s="208"/>
      <c r="LZD286" s="208"/>
      <c r="LZE286" s="208"/>
      <c r="LZF286" s="208"/>
      <c r="LZG286" s="208"/>
      <c r="LZH286" s="208"/>
      <c r="LZI286" s="208"/>
      <c r="LZJ286" s="208"/>
      <c r="LZK286" s="208"/>
      <c r="LZL286" s="208"/>
      <c r="LZM286" s="208"/>
      <c r="LZN286" s="208"/>
      <c r="LZO286" s="208"/>
      <c r="LZP286" s="208"/>
      <c r="LZQ286" s="208"/>
      <c r="LZR286" s="208"/>
      <c r="LZS286" s="208"/>
      <c r="LZT286" s="208"/>
      <c r="LZU286" s="208"/>
      <c r="LZV286" s="208"/>
      <c r="LZW286" s="208"/>
      <c r="LZX286" s="208"/>
      <c r="LZY286" s="208"/>
      <c r="LZZ286" s="208"/>
      <c r="MAA286" s="208"/>
      <c r="MAB286" s="208"/>
      <c r="MAC286" s="208"/>
      <c r="MAD286" s="208"/>
      <c r="MAE286" s="208"/>
      <c r="MAF286" s="208"/>
      <c r="MAG286" s="208"/>
      <c r="MAH286" s="208"/>
      <c r="MAI286" s="208"/>
      <c r="MAJ286" s="208"/>
      <c r="MAK286" s="208"/>
      <c r="MAL286" s="208"/>
      <c r="MAM286" s="208"/>
      <c r="MAN286" s="208"/>
      <c r="MAO286" s="208"/>
      <c r="MAP286" s="208"/>
      <c r="MAQ286" s="208"/>
      <c r="MAR286" s="208"/>
      <c r="MAS286" s="208"/>
      <c r="MAT286" s="208"/>
      <c r="MAU286" s="208"/>
      <c r="MAV286" s="208"/>
      <c r="MAW286" s="208"/>
      <c r="MAX286" s="208"/>
      <c r="MAY286" s="208"/>
      <c r="MAZ286" s="208"/>
      <c r="MBA286" s="208"/>
      <c r="MBB286" s="208"/>
      <c r="MBC286" s="208"/>
      <c r="MBD286" s="208"/>
      <c r="MBE286" s="208"/>
      <c r="MBF286" s="208"/>
      <c r="MBG286" s="208"/>
      <c r="MBH286" s="208"/>
      <c r="MBI286" s="208"/>
      <c r="MBJ286" s="208"/>
      <c r="MBK286" s="208"/>
      <c r="MBL286" s="208"/>
      <c r="MBM286" s="208"/>
      <c r="MBN286" s="208"/>
      <c r="MBO286" s="208"/>
      <c r="MBP286" s="208"/>
      <c r="MBQ286" s="208"/>
      <c r="MBR286" s="208"/>
      <c r="MBS286" s="208"/>
      <c r="MBT286" s="208"/>
      <c r="MBU286" s="208"/>
      <c r="MBV286" s="208"/>
      <c r="MBW286" s="208"/>
      <c r="MBX286" s="208"/>
      <c r="MBY286" s="208"/>
      <c r="MBZ286" s="208"/>
      <c r="MCA286" s="208"/>
      <c r="MCB286" s="208"/>
      <c r="MCC286" s="208"/>
      <c r="MCD286" s="208"/>
      <c r="MCE286" s="208"/>
      <c r="MCF286" s="208"/>
      <c r="MCG286" s="208"/>
      <c r="MCH286" s="208"/>
      <c r="MCI286" s="208"/>
      <c r="MCJ286" s="208"/>
      <c r="MCK286" s="208"/>
      <c r="MCL286" s="208"/>
      <c r="MCM286" s="208"/>
      <c r="MCN286" s="208"/>
      <c r="MCO286" s="208"/>
      <c r="MCP286" s="208"/>
      <c r="MCQ286" s="208"/>
      <c r="MCR286" s="208"/>
      <c r="MCS286" s="208"/>
      <c r="MCT286" s="208"/>
      <c r="MCU286" s="208"/>
      <c r="MCV286" s="208"/>
      <c r="MCW286" s="208"/>
      <c r="MCX286" s="208"/>
      <c r="MCY286" s="208"/>
      <c r="MCZ286" s="208"/>
      <c r="MDA286" s="208"/>
      <c r="MDB286" s="208"/>
      <c r="MDC286" s="208"/>
      <c r="MDD286" s="208"/>
      <c r="MDE286" s="208"/>
      <c r="MDF286" s="208"/>
      <c r="MDG286" s="208"/>
      <c r="MDH286" s="208"/>
      <c r="MDI286" s="208"/>
      <c r="MDJ286" s="208"/>
      <c r="MDK286" s="208"/>
      <c r="MDL286" s="208"/>
      <c r="MDM286" s="208"/>
      <c r="MDN286" s="208"/>
      <c r="MDO286" s="208"/>
      <c r="MDP286" s="208"/>
      <c r="MDQ286" s="208"/>
      <c r="MDR286" s="208"/>
      <c r="MDS286" s="208"/>
      <c r="MDT286" s="208"/>
      <c r="MDU286" s="208"/>
      <c r="MDV286" s="208"/>
      <c r="MDW286" s="208"/>
      <c r="MDX286" s="208"/>
      <c r="MDY286" s="208"/>
      <c r="MDZ286" s="208"/>
      <c r="MEA286" s="208"/>
      <c r="MEB286" s="208"/>
      <c r="MEC286" s="208"/>
      <c r="MED286" s="208"/>
      <c r="MEE286" s="208"/>
      <c r="MEF286" s="208"/>
      <c r="MEG286" s="208"/>
      <c r="MEH286" s="208"/>
      <c r="MEI286" s="208"/>
      <c r="MEJ286" s="208"/>
      <c r="MEK286" s="208"/>
      <c r="MEL286" s="208"/>
      <c r="MEM286" s="208"/>
      <c r="MEN286" s="208"/>
      <c r="MEO286" s="208"/>
      <c r="MEP286" s="208"/>
      <c r="MEQ286" s="208"/>
      <c r="MER286" s="208"/>
      <c r="MES286" s="208"/>
      <c r="MET286" s="208"/>
      <c r="MEU286" s="208"/>
      <c r="MEV286" s="208"/>
      <c r="MEW286" s="208"/>
      <c r="MEX286" s="208"/>
      <c r="MEY286" s="208"/>
      <c r="MEZ286" s="208"/>
      <c r="MFA286" s="208"/>
      <c r="MFB286" s="208"/>
      <c r="MFC286" s="208"/>
      <c r="MFD286" s="208"/>
      <c r="MFE286" s="208"/>
      <c r="MFF286" s="208"/>
      <c r="MFG286" s="208"/>
      <c r="MFH286" s="208"/>
      <c r="MFI286" s="208"/>
      <c r="MFJ286" s="208"/>
      <c r="MFK286" s="208"/>
      <c r="MFL286" s="208"/>
      <c r="MFM286" s="208"/>
      <c r="MFN286" s="208"/>
      <c r="MFO286" s="208"/>
      <c r="MFP286" s="208"/>
      <c r="MFQ286" s="208"/>
      <c r="MFR286" s="208"/>
      <c r="MFS286" s="208"/>
      <c r="MFT286" s="208"/>
      <c r="MFU286" s="208"/>
      <c r="MFV286" s="208"/>
      <c r="MFW286" s="208"/>
      <c r="MFX286" s="208"/>
      <c r="MFY286" s="208"/>
      <c r="MFZ286" s="208"/>
      <c r="MGA286" s="208"/>
      <c r="MGB286" s="208"/>
      <c r="MGC286" s="208"/>
      <c r="MGD286" s="208"/>
      <c r="MGE286" s="208"/>
      <c r="MGF286" s="208"/>
      <c r="MGG286" s="208"/>
      <c r="MGH286" s="208"/>
      <c r="MGI286" s="208"/>
      <c r="MGJ286" s="208"/>
      <c r="MGK286" s="208"/>
      <c r="MGL286" s="208"/>
      <c r="MGM286" s="208"/>
      <c r="MGN286" s="208"/>
      <c r="MGO286" s="208"/>
      <c r="MGP286" s="208"/>
      <c r="MGQ286" s="208"/>
      <c r="MGR286" s="208"/>
      <c r="MGS286" s="208"/>
      <c r="MGT286" s="208"/>
      <c r="MGU286" s="208"/>
      <c r="MGV286" s="208"/>
      <c r="MGW286" s="208"/>
      <c r="MGX286" s="208"/>
      <c r="MGY286" s="208"/>
      <c r="MGZ286" s="208"/>
      <c r="MHA286" s="208"/>
      <c r="MHB286" s="208"/>
      <c r="MHC286" s="208"/>
      <c r="MHD286" s="208"/>
      <c r="MHE286" s="208"/>
      <c r="MHF286" s="208"/>
      <c r="MHG286" s="208"/>
      <c r="MHH286" s="208"/>
      <c r="MHI286" s="208"/>
      <c r="MHJ286" s="208"/>
      <c r="MHK286" s="208"/>
      <c r="MHL286" s="208"/>
      <c r="MHM286" s="208"/>
      <c r="MHN286" s="208"/>
      <c r="MHO286" s="208"/>
      <c r="MHP286" s="208"/>
      <c r="MHQ286" s="208"/>
      <c r="MHR286" s="208"/>
      <c r="MHS286" s="208"/>
      <c r="MHT286" s="208"/>
      <c r="MHU286" s="208"/>
      <c r="MHV286" s="208"/>
      <c r="MHW286" s="208"/>
      <c r="MHX286" s="208"/>
      <c r="MHY286" s="208"/>
      <c r="MHZ286" s="208"/>
      <c r="MIA286" s="208"/>
      <c r="MIB286" s="208"/>
      <c r="MIC286" s="208"/>
      <c r="MID286" s="208"/>
      <c r="MIE286" s="208"/>
      <c r="MIF286" s="208"/>
      <c r="MIG286" s="208"/>
      <c r="MIH286" s="208"/>
      <c r="MII286" s="208"/>
      <c r="MIJ286" s="208"/>
      <c r="MIK286" s="208"/>
      <c r="MIL286" s="208"/>
      <c r="MIM286" s="208"/>
      <c r="MIN286" s="208"/>
      <c r="MIO286" s="208"/>
      <c r="MIP286" s="208"/>
      <c r="MIQ286" s="208"/>
      <c r="MIR286" s="208"/>
      <c r="MIS286" s="208"/>
      <c r="MIT286" s="208"/>
      <c r="MIU286" s="208"/>
      <c r="MIV286" s="208"/>
      <c r="MIW286" s="208"/>
      <c r="MIX286" s="208"/>
      <c r="MIY286" s="208"/>
      <c r="MIZ286" s="208"/>
      <c r="MJA286" s="208"/>
      <c r="MJB286" s="208"/>
      <c r="MJC286" s="208"/>
      <c r="MJD286" s="208"/>
      <c r="MJE286" s="208"/>
      <c r="MJF286" s="208"/>
      <c r="MJG286" s="208"/>
      <c r="MJH286" s="208"/>
      <c r="MJI286" s="208"/>
      <c r="MJJ286" s="208"/>
      <c r="MJK286" s="208"/>
      <c r="MJL286" s="208"/>
      <c r="MJM286" s="208"/>
      <c r="MJN286" s="208"/>
      <c r="MJO286" s="208"/>
      <c r="MJP286" s="208"/>
      <c r="MJQ286" s="208"/>
      <c r="MJR286" s="208"/>
      <c r="MJS286" s="208"/>
      <c r="MJT286" s="208"/>
      <c r="MJU286" s="208"/>
      <c r="MJV286" s="208"/>
      <c r="MJW286" s="208"/>
      <c r="MJX286" s="208"/>
      <c r="MJY286" s="208"/>
      <c r="MJZ286" s="208"/>
      <c r="MKA286" s="208"/>
      <c r="MKB286" s="208"/>
      <c r="MKC286" s="208"/>
      <c r="MKD286" s="208"/>
      <c r="MKE286" s="208"/>
      <c r="MKF286" s="208"/>
      <c r="MKG286" s="208"/>
      <c r="MKH286" s="208"/>
      <c r="MKI286" s="208"/>
      <c r="MKJ286" s="208"/>
      <c r="MKK286" s="208"/>
      <c r="MKL286" s="208"/>
      <c r="MKM286" s="208"/>
      <c r="MKN286" s="208"/>
      <c r="MKO286" s="208"/>
      <c r="MKP286" s="208"/>
      <c r="MKQ286" s="208"/>
      <c r="MKR286" s="208"/>
      <c r="MKS286" s="208"/>
      <c r="MKT286" s="208"/>
      <c r="MKU286" s="208"/>
      <c r="MKV286" s="208"/>
      <c r="MKW286" s="208"/>
      <c r="MKX286" s="208"/>
      <c r="MKY286" s="208"/>
      <c r="MKZ286" s="208"/>
      <c r="MLA286" s="208"/>
      <c r="MLB286" s="208"/>
      <c r="MLC286" s="208"/>
      <c r="MLD286" s="208"/>
      <c r="MLE286" s="208"/>
      <c r="MLF286" s="208"/>
      <c r="MLG286" s="208"/>
      <c r="MLH286" s="208"/>
      <c r="MLI286" s="208"/>
      <c r="MLJ286" s="208"/>
      <c r="MLK286" s="208"/>
      <c r="MLL286" s="208"/>
      <c r="MLM286" s="208"/>
      <c r="MLN286" s="208"/>
      <c r="MLO286" s="208"/>
      <c r="MLP286" s="208"/>
      <c r="MLQ286" s="208"/>
      <c r="MLR286" s="208"/>
      <c r="MLS286" s="208"/>
      <c r="MLT286" s="208"/>
      <c r="MLU286" s="208"/>
      <c r="MLV286" s="208"/>
      <c r="MLW286" s="208"/>
      <c r="MLX286" s="208"/>
      <c r="MLY286" s="208"/>
      <c r="MLZ286" s="208"/>
      <c r="MMA286" s="208"/>
      <c r="MMB286" s="208"/>
      <c r="MMC286" s="208"/>
      <c r="MMD286" s="208"/>
      <c r="MME286" s="208"/>
      <c r="MMF286" s="208"/>
      <c r="MMG286" s="208"/>
      <c r="MMH286" s="208"/>
      <c r="MMI286" s="208"/>
      <c r="MMJ286" s="208"/>
      <c r="MMK286" s="208"/>
      <c r="MML286" s="208"/>
      <c r="MMM286" s="208"/>
      <c r="MMN286" s="208"/>
      <c r="MMO286" s="208"/>
      <c r="MMP286" s="208"/>
      <c r="MMQ286" s="208"/>
      <c r="MMR286" s="208"/>
      <c r="MMS286" s="208"/>
      <c r="MMT286" s="208"/>
      <c r="MMU286" s="208"/>
      <c r="MMV286" s="208"/>
      <c r="MMW286" s="208"/>
      <c r="MMX286" s="208"/>
      <c r="MMY286" s="208"/>
      <c r="MMZ286" s="208"/>
      <c r="MNA286" s="208"/>
      <c r="MNB286" s="208"/>
      <c r="MNC286" s="208"/>
      <c r="MND286" s="208"/>
      <c r="MNE286" s="208"/>
      <c r="MNF286" s="208"/>
      <c r="MNG286" s="208"/>
      <c r="MNH286" s="208"/>
      <c r="MNI286" s="208"/>
      <c r="MNJ286" s="208"/>
      <c r="MNK286" s="208"/>
      <c r="MNL286" s="208"/>
      <c r="MNM286" s="208"/>
      <c r="MNN286" s="208"/>
      <c r="MNO286" s="208"/>
      <c r="MNP286" s="208"/>
      <c r="MNQ286" s="208"/>
      <c r="MNR286" s="208"/>
      <c r="MNS286" s="208"/>
      <c r="MNT286" s="208"/>
      <c r="MNU286" s="208"/>
      <c r="MNV286" s="208"/>
      <c r="MNW286" s="208"/>
      <c r="MNX286" s="208"/>
      <c r="MNY286" s="208"/>
      <c r="MNZ286" s="208"/>
      <c r="MOA286" s="208"/>
      <c r="MOB286" s="208"/>
      <c r="MOC286" s="208"/>
      <c r="MOD286" s="208"/>
      <c r="MOE286" s="208"/>
      <c r="MOF286" s="208"/>
      <c r="MOG286" s="208"/>
      <c r="MOH286" s="208"/>
      <c r="MOI286" s="208"/>
      <c r="MOJ286" s="208"/>
      <c r="MOK286" s="208"/>
      <c r="MOL286" s="208"/>
      <c r="MOM286" s="208"/>
      <c r="MON286" s="208"/>
      <c r="MOO286" s="208"/>
      <c r="MOP286" s="208"/>
      <c r="MOQ286" s="208"/>
      <c r="MOR286" s="208"/>
      <c r="MOS286" s="208"/>
      <c r="MOT286" s="208"/>
      <c r="MOU286" s="208"/>
      <c r="MOV286" s="208"/>
      <c r="MOW286" s="208"/>
      <c r="MOX286" s="208"/>
      <c r="MOY286" s="208"/>
      <c r="MOZ286" s="208"/>
      <c r="MPA286" s="208"/>
      <c r="MPB286" s="208"/>
      <c r="MPC286" s="208"/>
      <c r="MPD286" s="208"/>
      <c r="MPE286" s="208"/>
      <c r="MPF286" s="208"/>
      <c r="MPG286" s="208"/>
      <c r="MPH286" s="208"/>
      <c r="MPI286" s="208"/>
      <c r="MPJ286" s="208"/>
      <c r="MPK286" s="208"/>
      <c r="MPL286" s="208"/>
      <c r="MPM286" s="208"/>
      <c r="MPN286" s="208"/>
      <c r="MPO286" s="208"/>
      <c r="MPP286" s="208"/>
      <c r="MPQ286" s="208"/>
      <c r="MPR286" s="208"/>
      <c r="MPS286" s="208"/>
      <c r="MPT286" s="208"/>
      <c r="MPU286" s="208"/>
      <c r="MPV286" s="208"/>
      <c r="MPW286" s="208"/>
      <c r="MPX286" s="208"/>
      <c r="MPY286" s="208"/>
      <c r="MPZ286" s="208"/>
      <c r="MQA286" s="208"/>
      <c r="MQB286" s="208"/>
      <c r="MQC286" s="208"/>
      <c r="MQD286" s="208"/>
      <c r="MQE286" s="208"/>
      <c r="MQF286" s="208"/>
      <c r="MQG286" s="208"/>
      <c r="MQH286" s="208"/>
      <c r="MQI286" s="208"/>
      <c r="MQJ286" s="208"/>
      <c r="MQK286" s="208"/>
      <c r="MQL286" s="208"/>
      <c r="MQM286" s="208"/>
      <c r="MQN286" s="208"/>
      <c r="MQO286" s="208"/>
      <c r="MQP286" s="208"/>
      <c r="MQQ286" s="208"/>
      <c r="MQR286" s="208"/>
      <c r="MQS286" s="208"/>
      <c r="MQT286" s="208"/>
      <c r="MQU286" s="208"/>
      <c r="MQV286" s="208"/>
      <c r="MQW286" s="208"/>
      <c r="MQX286" s="208"/>
      <c r="MQY286" s="208"/>
      <c r="MQZ286" s="208"/>
      <c r="MRA286" s="208"/>
      <c r="MRB286" s="208"/>
      <c r="MRC286" s="208"/>
      <c r="MRD286" s="208"/>
      <c r="MRE286" s="208"/>
      <c r="MRF286" s="208"/>
      <c r="MRG286" s="208"/>
      <c r="MRH286" s="208"/>
      <c r="MRI286" s="208"/>
      <c r="MRJ286" s="208"/>
      <c r="MRK286" s="208"/>
      <c r="MRL286" s="208"/>
      <c r="MRM286" s="208"/>
      <c r="MRN286" s="208"/>
      <c r="MRO286" s="208"/>
      <c r="MRP286" s="208"/>
      <c r="MRQ286" s="208"/>
      <c r="MRR286" s="208"/>
      <c r="MRS286" s="208"/>
      <c r="MRT286" s="208"/>
      <c r="MRU286" s="208"/>
      <c r="MRV286" s="208"/>
      <c r="MRW286" s="208"/>
      <c r="MRX286" s="208"/>
      <c r="MRY286" s="208"/>
      <c r="MRZ286" s="208"/>
      <c r="MSA286" s="208"/>
      <c r="MSB286" s="208"/>
      <c r="MSC286" s="208"/>
      <c r="MSD286" s="208"/>
      <c r="MSE286" s="208"/>
      <c r="MSF286" s="208"/>
      <c r="MSG286" s="208"/>
      <c r="MSH286" s="208"/>
      <c r="MSI286" s="208"/>
      <c r="MSJ286" s="208"/>
      <c r="MSK286" s="208"/>
      <c r="MSL286" s="208"/>
      <c r="MSM286" s="208"/>
      <c r="MSN286" s="208"/>
      <c r="MSO286" s="208"/>
      <c r="MSP286" s="208"/>
      <c r="MSQ286" s="208"/>
      <c r="MSR286" s="208"/>
      <c r="MSS286" s="208"/>
      <c r="MST286" s="208"/>
      <c r="MSU286" s="208"/>
      <c r="MSV286" s="208"/>
      <c r="MSW286" s="208"/>
      <c r="MSX286" s="208"/>
      <c r="MSY286" s="208"/>
      <c r="MSZ286" s="208"/>
      <c r="MTA286" s="208"/>
      <c r="MTB286" s="208"/>
      <c r="MTC286" s="208"/>
      <c r="MTD286" s="208"/>
      <c r="MTE286" s="208"/>
      <c r="MTF286" s="208"/>
      <c r="MTG286" s="208"/>
      <c r="MTH286" s="208"/>
      <c r="MTI286" s="208"/>
      <c r="MTJ286" s="208"/>
      <c r="MTK286" s="208"/>
      <c r="MTL286" s="208"/>
      <c r="MTM286" s="208"/>
      <c r="MTN286" s="208"/>
      <c r="MTO286" s="208"/>
      <c r="MTP286" s="208"/>
      <c r="MTQ286" s="208"/>
      <c r="MTR286" s="208"/>
      <c r="MTS286" s="208"/>
      <c r="MTT286" s="208"/>
      <c r="MTU286" s="208"/>
      <c r="MTV286" s="208"/>
      <c r="MTW286" s="208"/>
      <c r="MTX286" s="208"/>
      <c r="MTY286" s="208"/>
      <c r="MTZ286" s="208"/>
      <c r="MUA286" s="208"/>
      <c r="MUB286" s="208"/>
      <c r="MUC286" s="208"/>
      <c r="MUD286" s="208"/>
      <c r="MUE286" s="208"/>
      <c r="MUF286" s="208"/>
      <c r="MUG286" s="208"/>
      <c r="MUH286" s="208"/>
      <c r="MUI286" s="208"/>
      <c r="MUJ286" s="208"/>
      <c r="MUK286" s="208"/>
      <c r="MUL286" s="208"/>
      <c r="MUM286" s="208"/>
      <c r="MUN286" s="208"/>
      <c r="MUO286" s="208"/>
      <c r="MUP286" s="208"/>
      <c r="MUQ286" s="208"/>
      <c r="MUR286" s="208"/>
      <c r="MUS286" s="208"/>
      <c r="MUT286" s="208"/>
      <c r="MUU286" s="208"/>
      <c r="MUV286" s="208"/>
      <c r="MUW286" s="208"/>
      <c r="MUX286" s="208"/>
      <c r="MUY286" s="208"/>
      <c r="MUZ286" s="208"/>
      <c r="MVA286" s="208"/>
      <c r="MVB286" s="208"/>
      <c r="MVC286" s="208"/>
      <c r="MVD286" s="208"/>
      <c r="MVE286" s="208"/>
      <c r="MVF286" s="208"/>
      <c r="MVG286" s="208"/>
      <c r="MVH286" s="208"/>
      <c r="MVI286" s="208"/>
      <c r="MVJ286" s="208"/>
      <c r="MVK286" s="208"/>
      <c r="MVL286" s="208"/>
      <c r="MVM286" s="208"/>
      <c r="MVN286" s="208"/>
      <c r="MVO286" s="208"/>
      <c r="MVP286" s="208"/>
      <c r="MVQ286" s="208"/>
      <c r="MVR286" s="208"/>
      <c r="MVS286" s="208"/>
      <c r="MVT286" s="208"/>
      <c r="MVU286" s="208"/>
      <c r="MVV286" s="208"/>
      <c r="MVW286" s="208"/>
      <c r="MVX286" s="208"/>
      <c r="MVY286" s="208"/>
      <c r="MVZ286" s="208"/>
      <c r="MWA286" s="208"/>
      <c r="MWB286" s="208"/>
      <c r="MWC286" s="208"/>
      <c r="MWD286" s="208"/>
      <c r="MWE286" s="208"/>
      <c r="MWF286" s="208"/>
      <c r="MWG286" s="208"/>
      <c r="MWH286" s="208"/>
      <c r="MWI286" s="208"/>
      <c r="MWJ286" s="208"/>
      <c r="MWK286" s="208"/>
      <c r="MWL286" s="208"/>
      <c r="MWM286" s="208"/>
      <c r="MWN286" s="208"/>
      <c r="MWO286" s="208"/>
      <c r="MWP286" s="208"/>
      <c r="MWQ286" s="208"/>
      <c r="MWR286" s="208"/>
      <c r="MWS286" s="208"/>
      <c r="MWT286" s="208"/>
      <c r="MWU286" s="208"/>
      <c r="MWV286" s="208"/>
      <c r="MWW286" s="208"/>
      <c r="MWX286" s="208"/>
      <c r="MWY286" s="208"/>
      <c r="MWZ286" s="208"/>
      <c r="MXA286" s="208"/>
      <c r="MXB286" s="208"/>
      <c r="MXC286" s="208"/>
      <c r="MXD286" s="208"/>
      <c r="MXE286" s="208"/>
      <c r="MXF286" s="208"/>
      <c r="MXG286" s="208"/>
      <c r="MXH286" s="208"/>
      <c r="MXI286" s="208"/>
      <c r="MXJ286" s="208"/>
      <c r="MXK286" s="208"/>
      <c r="MXL286" s="208"/>
      <c r="MXM286" s="208"/>
      <c r="MXN286" s="208"/>
      <c r="MXO286" s="208"/>
      <c r="MXP286" s="208"/>
      <c r="MXQ286" s="208"/>
      <c r="MXR286" s="208"/>
      <c r="MXS286" s="208"/>
      <c r="MXT286" s="208"/>
      <c r="MXU286" s="208"/>
      <c r="MXV286" s="208"/>
      <c r="MXW286" s="208"/>
      <c r="MXX286" s="208"/>
      <c r="MXY286" s="208"/>
      <c r="MXZ286" s="208"/>
      <c r="MYA286" s="208"/>
      <c r="MYB286" s="208"/>
      <c r="MYC286" s="208"/>
      <c r="MYD286" s="208"/>
      <c r="MYE286" s="208"/>
      <c r="MYF286" s="208"/>
      <c r="MYG286" s="208"/>
      <c r="MYH286" s="208"/>
      <c r="MYI286" s="208"/>
      <c r="MYJ286" s="208"/>
      <c r="MYK286" s="208"/>
      <c r="MYL286" s="208"/>
      <c r="MYM286" s="208"/>
      <c r="MYN286" s="208"/>
      <c r="MYO286" s="208"/>
      <c r="MYP286" s="208"/>
      <c r="MYQ286" s="208"/>
      <c r="MYR286" s="208"/>
      <c r="MYS286" s="208"/>
      <c r="MYT286" s="208"/>
      <c r="MYU286" s="208"/>
      <c r="MYV286" s="208"/>
      <c r="MYW286" s="208"/>
      <c r="MYX286" s="208"/>
      <c r="MYY286" s="208"/>
      <c r="MYZ286" s="208"/>
      <c r="MZA286" s="208"/>
      <c r="MZB286" s="208"/>
      <c r="MZC286" s="208"/>
      <c r="MZD286" s="208"/>
      <c r="MZE286" s="208"/>
      <c r="MZF286" s="208"/>
      <c r="MZG286" s="208"/>
      <c r="MZH286" s="208"/>
      <c r="MZI286" s="208"/>
      <c r="MZJ286" s="208"/>
      <c r="MZK286" s="208"/>
      <c r="MZL286" s="208"/>
      <c r="MZM286" s="208"/>
      <c r="MZN286" s="208"/>
      <c r="MZO286" s="208"/>
      <c r="MZP286" s="208"/>
      <c r="MZQ286" s="208"/>
      <c r="MZR286" s="208"/>
      <c r="MZS286" s="208"/>
      <c r="MZT286" s="208"/>
      <c r="MZU286" s="208"/>
      <c r="MZV286" s="208"/>
      <c r="MZW286" s="208"/>
      <c r="MZX286" s="208"/>
      <c r="MZY286" s="208"/>
      <c r="MZZ286" s="208"/>
      <c r="NAA286" s="208"/>
      <c r="NAB286" s="208"/>
      <c r="NAC286" s="208"/>
      <c r="NAD286" s="208"/>
      <c r="NAE286" s="208"/>
      <c r="NAF286" s="208"/>
      <c r="NAG286" s="208"/>
      <c r="NAH286" s="208"/>
      <c r="NAI286" s="208"/>
      <c r="NAJ286" s="208"/>
      <c r="NAK286" s="208"/>
      <c r="NAL286" s="208"/>
      <c r="NAM286" s="208"/>
      <c r="NAN286" s="208"/>
      <c r="NAO286" s="208"/>
      <c r="NAP286" s="208"/>
      <c r="NAQ286" s="208"/>
      <c r="NAR286" s="208"/>
      <c r="NAS286" s="208"/>
      <c r="NAT286" s="208"/>
      <c r="NAU286" s="208"/>
      <c r="NAV286" s="208"/>
      <c r="NAW286" s="208"/>
      <c r="NAX286" s="208"/>
      <c r="NAY286" s="208"/>
      <c r="NAZ286" s="208"/>
      <c r="NBA286" s="208"/>
      <c r="NBB286" s="208"/>
      <c r="NBC286" s="208"/>
      <c r="NBD286" s="208"/>
      <c r="NBE286" s="208"/>
      <c r="NBF286" s="208"/>
      <c r="NBG286" s="208"/>
      <c r="NBH286" s="208"/>
      <c r="NBI286" s="208"/>
      <c r="NBJ286" s="208"/>
      <c r="NBK286" s="208"/>
      <c r="NBL286" s="208"/>
      <c r="NBM286" s="208"/>
      <c r="NBN286" s="208"/>
      <c r="NBO286" s="208"/>
      <c r="NBP286" s="208"/>
      <c r="NBQ286" s="208"/>
      <c r="NBR286" s="208"/>
      <c r="NBS286" s="208"/>
      <c r="NBT286" s="208"/>
      <c r="NBU286" s="208"/>
      <c r="NBV286" s="208"/>
      <c r="NBW286" s="208"/>
      <c r="NBX286" s="208"/>
      <c r="NBY286" s="208"/>
      <c r="NBZ286" s="208"/>
      <c r="NCA286" s="208"/>
      <c r="NCB286" s="208"/>
      <c r="NCC286" s="208"/>
      <c r="NCD286" s="208"/>
      <c r="NCE286" s="208"/>
      <c r="NCF286" s="208"/>
      <c r="NCG286" s="208"/>
      <c r="NCH286" s="208"/>
      <c r="NCI286" s="208"/>
      <c r="NCJ286" s="208"/>
      <c r="NCK286" s="208"/>
      <c r="NCL286" s="208"/>
      <c r="NCM286" s="208"/>
      <c r="NCN286" s="208"/>
      <c r="NCO286" s="208"/>
      <c r="NCP286" s="208"/>
      <c r="NCQ286" s="208"/>
      <c r="NCR286" s="208"/>
      <c r="NCS286" s="208"/>
      <c r="NCT286" s="208"/>
      <c r="NCU286" s="208"/>
      <c r="NCV286" s="208"/>
      <c r="NCW286" s="208"/>
      <c r="NCX286" s="208"/>
      <c r="NCY286" s="208"/>
      <c r="NCZ286" s="208"/>
      <c r="NDA286" s="208"/>
      <c r="NDB286" s="208"/>
      <c r="NDC286" s="208"/>
      <c r="NDD286" s="208"/>
      <c r="NDE286" s="208"/>
      <c r="NDF286" s="208"/>
      <c r="NDG286" s="208"/>
      <c r="NDH286" s="208"/>
      <c r="NDI286" s="208"/>
      <c r="NDJ286" s="208"/>
      <c r="NDK286" s="208"/>
      <c r="NDL286" s="208"/>
      <c r="NDM286" s="208"/>
      <c r="NDN286" s="208"/>
      <c r="NDO286" s="208"/>
      <c r="NDP286" s="208"/>
      <c r="NDQ286" s="208"/>
      <c r="NDR286" s="208"/>
      <c r="NDS286" s="208"/>
      <c r="NDT286" s="208"/>
      <c r="NDU286" s="208"/>
      <c r="NDV286" s="208"/>
      <c r="NDW286" s="208"/>
      <c r="NDX286" s="208"/>
      <c r="NDY286" s="208"/>
      <c r="NDZ286" s="208"/>
      <c r="NEA286" s="208"/>
      <c r="NEB286" s="208"/>
      <c r="NEC286" s="208"/>
      <c r="NED286" s="208"/>
      <c r="NEE286" s="208"/>
      <c r="NEF286" s="208"/>
      <c r="NEG286" s="208"/>
      <c r="NEH286" s="208"/>
      <c r="NEI286" s="208"/>
      <c r="NEJ286" s="208"/>
      <c r="NEK286" s="208"/>
      <c r="NEL286" s="208"/>
      <c r="NEM286" s="208"/>
      <c r="NEN286" s="208"/>
      <c r="NEO286" s="208"/>
      <c r="NEP286" s="208"/>
      <c r="NEQ286" s="208"/>
      <c r="NER286" s="208"/>
      <c r="NES286" s="208"/>
      <c r="NET286" s="208"/>
      <c r="NEU286" s="208"/>
      <c r="NEV286" s="208"/>
      <c r="NEW286" s="208"/>
      <c r="NEX286" s="208"/>
      <c r="NEY286" s="208"/>
      <c r="NEZ286" s="208"/>
      <c r="NFA286" s="208"/>
      <c r="NFB286" s="208"/>
      <c r="NFC286" s="208"/>
      <c r="NFD286" s="208"/>
      <c r="NFE286" s="208"/>
      <c r="NFF286" s="208"/>
      <c r="NFG286" s="208"/>
      <c r="NFH286" s="208"/>
      <c r="NFI286" s="208"/>
      <c r="NFJ286" s="208"/>
      <c r="NFK286" s="208"/>
      <c r="NFL286" s="208"/>
      <c r="NFM286" s="208"/>
      <c r="NFN286" s="208"/>
      <c r="NFO286" s="208"/>
      <c r="NFP286" s="208"/>
      <c r="NFQ286" s="208"/>
      <c r="NFR286" s="208"/>
      <c r="NFS286" s="208"/>
      <c r="NFT286" s="208"/>
      <c r="NFU286" s="208"/>
      <c r="NFV286" s="208"/>
      <c r="NFW286" s="208"/>
      <c r="NFX286" s="208"/>
      <c r="NFY286" s="208"/>
      <c r="NFZ286" s="208"/>
      <c r="NGA286" s="208"/>
      <c r="NGB286" s="208"/>
      <c r="NGC286" s="208"/>
      <c r="NGD286" s="208"/>
      <c r="NGE286" s="208"/>
      <c r="NGF286" s="208"/>
      <c r="NGG286" s="208"/>
      <c r="NGH286" s="208"/>
      <c r="NGI286" s="208"/>
      <c r="NGJ286" s="208"/>
      <c r="NGK286" s="208"/>
      <c r="NGL286" s="208"/>
      <c r="NGM286" s="208"/>
      <c r="NGN286" s="208"/>
      <c r="NGO286" s="208"/>
      <c r="NGP286" s="208"/>
      <c r="NGQ286" s="208"/>
      <c r="NGR286" s="208"/>
      <c r="NGS286" s="208"/>
      <c r="NGT286" s="208"/>
      <c r="NGU286" s="208"/>
      <c r="NGV286" s="208"/>
      <c r="NGW286" s="208"/>
      <c r="NGX286" s="208"/>
      <c r="NGY286" s="208"/>
      <c r="NGZ286" s="208"/>
      <c r="NHA286" s="208"/>
      <c r="NHB286" s="208"/>
      <c r="NHC286" s="208"/>
      <c r="NHD286" s="208"/>
      <c r="NHE286" s="208"/>
      <c r="NHF286" s="208"/>
      <c r="NHG286" s="208"/>
      <c r="NHH286" s="208"/>
      <c r="NHI286" s="208"/>
      <c r="NHJ286" s="208"/>
      <c r="NHK286" s="208"/>
      <c r="NHL286" s="208"/>
      <c r="NHM286" s="208"/>
      <c r="NHN286" s="208"/>
      <c r="NHO286" s="208"/>
      <c r="NHP286" s="208"/>
      <c r="NHQ286" s="208"/>
      <c r="NHR286" s="208"/>
      <c r="NHS286" s="208"/>
      <c r="NHT286" s="208"/>
      <c r="NHU286" s="208"/>
      <c r="NHV286" s="208"/>
      <c r="NHW286" s="208"/>
      <c r="NHX286" s="208"/>
      <c r="NHY286" s="208"/>
      <c r="NHZ286" s="208"/>
      <c r="NIA286" s="208"/>
      <c r="NIB286" s="208"/>
      <c r="NIC286" s="208"/>
      <c r="NID286" s="208"/>
      <c r="NIE286" s="208"/>
      <c r="NIF286" s="208"/>
      <c r="NIG286" s="208"/>
      <c r="NIH286" s="208"/>
      <c r="NII286" s="208"/>
      <c r="NIJ286" s="208"/>
      <c r="NIK286" s="208"/>
      <c r="NIL286" s="208"/>
      <c r="NIM286" s="208"/>
      <c r="NIN286" s="208"/>
      <c r="NIO286" s="208"/>
      <c r="NIP286" s="208"/>
      <c r="NIQ286" s="208"/>
      <c r="NIR286" s="208"/>
      <c r="NIS286" s="208"/>
      <c r="NIT286" s="208"/>
      <c r="NIU286" s="208"/>
      <c r="NIV286" s="208"/>
      <c r="NIW286" s="208"/>
      <c r="NIX286" s="208"/>
      <c r="NIY286" s="208"/>
      <c r="NIZ286" s="208"/>
      <c r="NJA286" s="208"/>
      <c r="NJB286" s="208"/>
      <c r="NJC286" s="208"/>
      <c r="NJD286" s="208"/>
      <c r="NJE286" s="208"/>
      <c r="NJF286" s="208"/>
      <c r="NJG286" s="208"/>
      <c r="NJH286" s="208"/>
      <c r="NJI286" s="208"/>
      <c r="NJJ286" s="208"/>
      <c r="NJK286" s="208"/>
      <c r="NJL286" s="208"/>
      <c r="NJM286" s="208"/>
      <c r="NJN286" s="208"/>
      <c r="NJO286" s="208"/>
      <c r="NJP286" s="208"/>
      <c r="NJQ286" s="208"/>
      <c r="NJR286" s="208"/>
      <c r="NJS286" s="208"/>
      <c r="NJT286" s="208"/>
      <c r="NJU286" s="208"/>
      <c r="NJV286" s="208"/>
      <c r="NJW286" s="208"/>
      <c r="NJX286" s="208"/>
      <c r="NJY286" s="208"/>
      <c r="NJZ286" s="208"/>
      <c r="NKA286" s="208"/>
      <c r="NKB286" s="208"/>
      <c r="NKC286" s="208"/>
      <c r="NKD286" s="208"/>
      <c r="NKE286" s="208"/>
      <c r="NKF286" s="208"/>
      <c r="NKG286" s="208"/>
      <c r="NKH286" s="208"/>
      <c r="NKI286" s="208"/>
      <c r="NKJ286" s="208"/>
      <c r="NKK286" s="208"/>
      <c r="NKL286" s="208"/>
      <c r="NKM286" s="208"/>
      <c r="NKN286" s="208"/>
      <c r="NKO286" s="208"/>
      <c r="NKP286" s="208"/>
      <c r="NKQ286" s="208"/>
      <c r="NKR286" s="208"/>
      <c r="NKS286" s="208"/>
      <c r="NKT286" s="208"/>
      <c r="NKU286" s="208"/>
      <c r="NKV286" s="208"/>
      <c r="NKW286" s="208"/>
      <c r="NKX286" s="208"/>
      <c r="NKY286" s="208"/>
      <c r="NKZ286" s="208"/>
      <c r="NLA286" s="208"/>
      <c r="NLB286" s="208"/>
      <c r="NLC286" s="208"/>
      <c r="NLD286" s="208"/>
      <c r="NLE286" s="208"/>
      <c r="NLF286" s="208"/>
      <c r="NLG286" s="208"/>
      <c r="NLH286" s="208"/>
      <c r="NLI286" s="208"/>
      <c r="NLJ286" s="208"/>
      <c r="NLK286" s="208"/>
      <c r="NLL286" s="208"/>
      <c r="NLM286" s="208"/>
      <c r="NLN286" s="208"/>
      <c r="NLO286" s="208"/>
      <c r="NLP286" s="208"/>
      <c r="NLQ286" s="208"/>
      <c r="NLR286" s="208"/>
      <c r="NLS286" s="208"/>
      <c r="NLT286" s="208"/>
      <c r="NLU286" s="208"/>
      <c r="NLV286" s="208"/>
      <c r="NLW286" s="208"/>
      <c r="NLX286" s="208"/>
      <c r="NLY286" s="208"/>
      <c r="NLZ286" s="208"/>
      <c r="NMA286" s="208"/>
      <c r="NMB286" s="208"/>
      <c r="NMC286" s="208"/>
      <c r="NMD286" s="208"/>
      <c r="NME286" s="208"/>
      <c r="NMF286" s="208"/>
      <c r="NMG286" s="208"/>
      <c r="NMH286" s="208"/>
      <c r="NMI286" s="208"/>
      <c r="NMJ286" s="208"/>
      <c r="NMK286" s="208"/>
      <c r="NML286" s="208"/>
      <c r="NMM286" s="208"/>
      <c r="NMN286" s="208"/>
      <c r="NMO286" s="208"/>
      <c r="NMP286" s="208"/>
      <c r="NMQ286" s="208"/>
      <c r="NMR286" s="208"/>
      <c r="NMS286" s="208"/>
      <c r="NMT286" s="208"/>
      <c r="NMU286" s="208"/>
      <c r="NMV286" s="208"/>
      <c r="NMW286" s="208"/>
      <c r="NMX286" s="208"/>
      <c r="NMY286" s="208"/>
      <c r="NMZ286" s="208"/>
      <c r="NNA286" s="208"/>
      <c r="NNB286" s="208"/>
      <c r="NNC286" s="208"/>
      <c r="NND286" s="208"/>
      <c r="NNE286" s="208"/>
      <c r="NNF286" s="208"/>
      <c r="NNG286" s="208"/>
      <c r="NNH286" s="208"/>
      <c r="NNI286" s="208"/>
      <c r="NNJ286" s="208"/>
      <c r="NNK286" s="208"/>
      <c r="NNL286" s="208"/>
      <c r="NNM286" s="208"/>
      <c r="NNN286" s="208"/>
      <c r="NNO286" s="208"/>
      <c r="NNP286" s="208"/>
      <c r="NNQ286" s="208"/>
      <c r="NNR286" s="208"/>
      <c r="NNS286" s="208"/>
      <c r="NNT286" s="208"/>
      <c r="NNU286" s="208"/>
      <c r="NNV286" s="208"/>
      <c r="NNW286" s="208"/>
      <c r="NNX286" s="208"/>
      <c r="NNY286" s="208"/>
      <c r="NNZ286" s="208"/>
      <c r="NOA286" s="208"/>
      <c r="NOB286" s="208"/>
      <c r="NOC286" s="208"/>
      <c r="NOD286" s="208"/>
      <c r="NOE286" s="208"/>
      <c r="NOF286" s="208"/>
      <c r="NOG286" s="208"/>
      <c r="NOH286" s="208"/>
      <c r="NOI286" s="208"/>
      <c r="NOJ286" s="208"/>
      <c r="NOK286" s="208"/>
      <c r="NOL286" s="208"/>
      <c r="NOM286" s="208"/>
      <c r="NON286" s="208"/>
      <c r="NOO286" s="208"/>
      <c r="NOP286" s="208"/>
      <c r="NOQ286" s="208"/>
      <c r="NOR286" s="208"/>
      <c r="NOS286" s="208"/>
      <c r="NOT286" s="208"/>
      <c r="NOU286" s="208"/>
      <c r="NOV286" s="208"/>
      <c r="NOW286" s="208"/>
      <c r="NOX286" s="208"/>
      <c r="NOY286" s="208"/>
      <c r="NOZ286" s="208"/>
      <c r="NPA286" s="208"/>
      <c r="NPB286" s="208"/>
      <c r="NPC286" s="208"/>
      <c r="NPD286" s="208"/>
      <c r="NPE286" s="208"/>
      <c r="NPF286" s="208"/>
      <c r="NPG286" s="208"/>
      <c r="NPH286" s="208"/>
      <c r="NPI286" s="208"/>
      <c r="NPJ286" s="208"/>
      <c r="NPK286" s="208"/>
      <c r="NPL286" s="208"/>
      <c r="NPM286" s="208"/>
      <c r="NPN286" s="208"/>
      <c r="NPO286" s="208"/>
      <c r="NPP286" s="208"/>
      <c r="NPQ286" s="208"/>
      <c r="NPR286" s="208"/>
      <c r="NPS286" s="208"/>
      <c r="NPT286" s="208"/>
      <c r="NPU286" s="208"/>
      <c r="NPV286" s="208"/>
      <c r="NPW286" s="208"/>
      <c r="NPX286" s="208"/>
      <c r="NPY286" s="208"/>
      <c r="NPZ286" s="208"/>
      <c r="NQA286" s="208"/>
      <c r="NQB286" s="208"/>
      <c r="NQC286" s="208"/>
      <c r="NQD286" s="208"/>
      <c r="NQE286" s="208"/>
      <c r="NQF286" s="208"/>
      <c r="NQG286" s="208"/>
      <c r="NQH286" s="208"/>
      <c r="NQI286" s="208"/>
      <c r="NQJ286" s="208"/>
      <c r="NQK286" s="208"/>
      <c r="NQL286" s="208"/>
      <c r="NQM286" s="208"/>
      <c r="NQN286" s="208"/>
      <c r="NQO286" s="208"/>
      <c r="NQP286" s="208"/>
      <c r="NQQ286" s="208"/>
      <c r="NQR286" s="208"/>
      <c r="NQS286" s="208"/>
      <c r="NQT286" s="208"/>
      <c r="NQU286" s="208"/>
      <c r="NQV286" s="208"/>
      <c r="NQW286" s="208"/>
      <c r="NQX286" s="208"/>
      <c r="NQY286" s="208"/>
      <c r="NQZ286" s="208"/>
      <c r="NRA286" s="208"/>
      <c r="NRB286" s="208"/>
      <c r="NRC286" s="208"/>
      <c r="NRD286" s="208"/>
      <c r="NRE286" s="208"/>
      <c r="NRF286" s="208"/>
      <c r="NRG286" s="208"/>
      <c r="NRH286" s="208"/>
      <c r="NRI286" s="208"/>
      <c r="NRJ286" s="208"/>
      <c r="NRK286" s="208"/>
      <c r="NRL286" s="208"/>
      <c r="NRM286" s="208"/>
      <c r="NRN286" s="208"/>
      <c r="NRO286" s="208"/>
      <c r="NRP286" s="208"/>
      <c r="NRQ286" s="208"/>
      <c r="NRR286" s="208"/>
      <c r="NRS286" s="208"/>
      <c r="NRT286" s="208"/>
      <c r="NRU286" s="208"/>
      <c r="NRV286" s="208"/>
      <c r="NRW286" s="208"/>
      <c r="NRX286" s="208"/>
      <c r="NRY286" s="208"/>
      <c r="NRZ286" s="208"/>
      <c r="NSA286" s="208"/>
      <c r="NSB286" s="208"/>
      <c r="NSC286" s="208"/>
      <c r="NSD286" s="208"/>
      <c r="NSE286" s="208"/>
      <c r="NSF286" s="208"/>
      <c r="NSG286" s="208"/>
      <c r="NSH286" s="208"/>
      <c r="NSI286" s="208"/>
      <c r="NSJ286" s="208"/>
      <c r="NSK286" s="208"/>
      <c r="NSL286" s="208"/>
      <c r="NSM286" s="208"/>
      <c r="NSN286" s="208"/>
      <c r="NSO286" s="208"/>
      <c r="NSP286" s="208"/>
      <c r="NSQ286" s="208"/>
      <c r="NSR286" s="208"/>
      <c r="NSS286" s="208"/>
      <c r="NST286" s="208"/>
      <c r="NSU286" s="208"/>
      <c r="NSV286" s="208"/>
      <c r="NSW286" s="208"/>
      <c r="NSX286" s="208"/>
      <c r="NSY286" s="208"/>
      <c r="NSZ286" s="208"/>
      <c r="NTA286" s="208"/>
      <c r="NTB286" s="208"/>
      <c r="NTC286" s="208"/>
      <c r="NTD286" s="208"/>
      <c r="NTE286" s="208"/>
      <c r="NTF286" s="208"/>
      <c r="NTG286" s="208"/>
      <c r="NTH286" s="208"/>
      <c r="NTI286" s="208"/>
      <c r="NTJ286" s="208"/>
      <c r="NTK286" s="208"/>
      <c r="NTL286" s="208"/>
      <c r="NTM286" s="208"/>
      <c r="NTN286" s="208"/>
      <c r="NTO286" s="208"/>
      <c r="NTP286" s="208"/>
      <c r="NTQ286" s="208"/>
      <c r="NTR286" s="208"/>
      <c r="NTS286" s="208"/>
      <c r="NTT286" s="208"/>
      <c r="NTU286" s="208"/>
      <c r="NTV286" s="208"/>
      <c r="NTW286" s="208"/>
      <c r="NTX286" s="208"/>
      <c r="NTY286" s="208"/>
      <c r="NTZ286" s="208"/>
      <c r="NUA286" s="208"/>
      <c r="NUB286" s="208"/>
      <c r="NUC286" s="208"/>
      <c r="NUD286" s="208"/>
      <c r="NUE286" s="208"/>
      <c r="NUF286" s="208"/>
      <c r="NUG286" s="208"/>
      <c r="NUH286" s="208"/>
      <c r="NUI286" s="208"/>
      <c r="NUJ286" s="208"/>
      <c r="NUK286" s="208"/>
      <c r="NUL286" s="208"/>
      <c r="NUM286" s="208"/>
      <c r="NUN286" s="208"/>
      <c r="NUO286" s="208"/>
      <c r="NUP286" s="208"/>
      <c r="NUQ286" s="208"/>
      <c r="NUR286" s="208"/>
      <c r="NUS286" s="208"/>
      <c r="NUT286" s="208"/>
      <c r="NUU286" s="208"/>
      <c r="NUV286" s="208"/>
      <c r="NUW286" s="208"/>
      <c r="NUX286" s="208"/>
      <c r="NUY286" s="208"/>
      <c r="NUZ286" s="208"/>
      <c r="NVA286" s="208"/>
      <c r="NVB286" s="208"/>
      <c r="NVC286" s="208"/>
      <c r="NVD286" s="208"/>
      <c r="NVE286" s="208"/>
      <c r="NVF286" s="208"/>
      <c r="NVG286" s="208"/>
      <c r="NVH286" s="208"/>
      <c r="NVI286" s="208"/>
      <c r="NVJ286" s="208"/>
      <c r="NVK286" s="208"/>
      <c r="NVL286" s="208"/>
      <c r="NVM286" s="208"/>
      <c r="NVN286" s="208"/>
      <c r="NVO286" s="208"/>
      <c r="NVP286" s="208"/>
      <c r="NVQ286" s="208"/>
      <c r="NVR286" s="208"/>
      <c r="NVS286" s="208"/>
      <c r="NVT286" s="208"/>
      <c r="NVU286" s="208"/>
      <c r="NVV286" s="208"/>
      <c r="NVW286" s="208"/>
      <c r="NVX286" s="208"/>
      <c r="NVY286" s="208"/>
      <c r="NVZ286" s="208"/>
      <c r="NWA286" s="208"/>
      <c r="NWB286" s="208"/>
      <c r="NWC286" s="208"/>
      <c r="NWD286" s="208"/>
      <c r="NWE286" s="208"/>
      <c r="NWF286" s="208"/>
      <c r="NWG286" s="208"/>
      <c r="NWH286" s="208"/>
      <c r="NWI286" s="208"/>
      <c r="NWJ286" s="208"/>
      <c r="NWK286" s="208"/>
      <c r="NWL286" s="208"/>
      <c r="NWM286" s="208"/>
      <c r="NWN286" s="208"/>
      <c r="NWO286" s="208"/>
      <c r="NWP286" s="208"/>
      <c r="NWQ286" s="208"/>
      <c r="NWR286" s="208"/>
      <c r="NWS286" s="208"/>
      <c r="NWT286" s="208"/>
      <c r="NWU286" s="208"/>
      <c r="NWV286" s="208"/>
      <c r="NWW286" s="208"/>
      <c r="NWX286" s="208"/>
      <c r="NWY286" s="208"/>
      <c r="NWZ286" s="208"/>
      <c r="NXA286" s="208"/>
      <c r="NXB286" s="208"/>
      <c r="NXC286" s="208"/>
      <c r="NXD286" s="208"/>
      <c r="NXE286" s="208"/>
      <c r="NXF286" s="208"/>
      <c r="NXG286" s="208"/>
      <c r="NXH286" s="208"/>
      <c r="NXI286" s="208"/>
      <c r="NXJ286" s="208"/>
      <c r="NXK286" s="208"/>
      <c r="NXL286" s="208"/>
      <c r="NXM286" s="208"/>
      <c r="NXN286" s="208"/>
      <c r="NXO286" s="208"/>
      <c r="NXP286" s="208"/>
      <c r="NXQ286" s="208"/>
      <c r="NXR286" s="208"/>
      <c r="NXS286" s="208"/>
      <c r="NXT286" s="208"/>
      <c r="NXU286" s="208"/>
      <c r="NXV286" s="208"/>
      <c r="NXW286" s="208"/>
      <c r="NXX286" s="208"/>
      <c r="NXY286" s="208"/>
      <c r="NXZ286" s="208"/>
      <c r="NYA286" s="208"/>
      <c r="NYB286" s="208"/>
      <c r="NYC286" s="208"/>
      <c r="NYD286" s="208"/>
      <c r="NYE286" s="208"/>
      <c r="NYF286" s="208"/>
      <c r="NYG286" s="208"/>
      <c r="NYH286" s="208"/>
      <c r="NYI286" s="208"/>
      <c r="NYJ286" s="208"/>
      <c r="NYK286" s="208"/>
      <c r="NYL286" s="208"/>
      <c r="NYM286" s="208"/>
      <c r="NYN286" s="208"/>
      <c r="NYO286" s="208"/>
      <c r="NYP286" s="208"/>
      <c r="NYQ286" s="208"/>
      <c r="NYR286" s="208"/>
      <c r="NYS286" s="208"/>
      <c r="NYT286" s="208"/>
      <c r="NYU286" s="208"/>
      <c r="NYV286" s="208"/>
      <c r="NYW286" s="208"/>
      <c r="NYX286" s="208"/>
      <c r="NYY286" s="208"/>
      <c r="NYZ286" s="208"/>
      <c r="NZA286" s="208"/>
      <c r="NZB286" s="208"/>
      <c r="NZC286" s="208"/>
      <c r="NZD286" s="208"/>
      <c r="NZE286" s="208"/>
      <c r="NZF286" s="208"/>
      <c r="NZG286" s="208"/>
      <c r="NZH286" s="208"/>
      <c r="NZI286" s="208"/>
      <c r="NZJ286" s="208"/>
      <c r="NZK286" s="208"/>
      <c r="NZL286" s="208"/>
      <c r="NZM286" s="208"/>
      <c r="NZN286" s="208"/>
      <c r="NZO286" s="208"/>
      <c r="NZP286" s="208"/>
      <c r="NZQ286" s="208"/>
      <c r="NZR286" s="208"/>
      <c r="NZS286" s="208"/>
      <c r="NZT286" s="208"/>
      <c r="NZU286" s="208"/>
      <c r="NZV286" s="208"/>
      <c r="NZW286" s="208"/>
      <c r="NZX286" s="208"/>
      <c r="NZY286" s="208"/>
      <c r="NZZ286" s="208"/>
      <c r="OAA286" s="208"/>
      <c r="OAB286" s="208"/>
      <c r="OAC286" s="208"/>
      <c r="OAD286" s="208"/>
      <c r="OAE286" s="208"/>
      <c r="OAF286" s="208"/>
      <c r="OAG286" s="208"/>
      <c r="OAH286" s="208"/>
      <c r="OAI286" s="208"/>
      <c r="OAJ286" s="208"/>
      <c r="OAK286" s="208"/>
      <c r="OAL286" s="208"/>
      <c r="OAM286" s="208"/>
      <c r="OAN286" s="208"/>
      <c r="OAO286" s="208"/>
      <c r="OAP286" s="208"/>
      <c r="OAQ286" s="208"/>
      <c r="OAR286" s="208"/>
      <c r="OAS286" s="208"/>
      <c r="OAT286" s="208"/>
      <c r="OAU286" s="208"/>
      <c r="OAV286" s="208"/>
      <c r="OAW286" s="208"/>
      <c r="OAX286" s="208"/>
      <c r="OAY286" s="208"/>
      <c r="OAZ286" s="208"/>
      <c r="OBA286" s="208"/>
      <c r="OBB286" s="208"/>
      <c r="OBC286" s="208"/>
      <c r="OBD286" s="208"/>
      <c r="OBE286" s="208"/>
      <c r="OBF286" s="208"/>
      <c r="OBG286" s="208"/>
      <c r="OBH286" s="208"/>
      <c r="OBI286" s="208"/>
      <c r="OBJ286" s="208"/>
      <c r="OBK286" s="208"/>
      <c r="OBL286" s="208"/>
      <c r="OBM286" s="208"/>
      <c r="OBN286" s="208"/>
      <c r="OBO286" s="208"/>
      <c r="OBP286" s="208"/>
      <c r="OBQ286" s="208"/>
      <c r="OBR286" s="208"/>
      <c r="OBS286" s="208"/>
      <c r="OBT286" s="208"/>
      <c r="OBU286" s="208"/>
      <c r="OBV286" s="208"/>
      <c r="OBW286" s="208"/>
      <c r="OBX286" s="208"/>
      <c r="OBY286" s="208"/>
      <c r="OBZ286" s="208"/>
      <c r="OCA286" s="208"/>
      <c r="OCB286" s="208"/>
      <c r="OCC286" s="208"/>
      <c r="OCD286" s="208"/>
      <c r="OCE286" s="208"/>
      <c r="OCF286" s="208"/>
      <c r="OCG286" s="208"/>
      <c r="OCH286" s="208"/>
      <c r="OCI286" s="208"/>
      <c r="OCJ286" s="208"/>
      <c r="OCK286" s="208"/>
      <c r="OCL286" s="208"/>
      <c r="OCM286" s="208"/>
      <c r="OCN286" s="208"/>
      <c r="OCO286" s="208"/>
      <c r="OCP286" s="208"/>
      <c r="OCQ286" s="208"/>
      <c r="OCR286" s="208"/>
      <c r="OCS286" s="208"/>
      <c r="OCT286" s="208"/>
      <c r="OCU286" s="208"/>
      <c r="OCV286" s="208"/>
      <c r="OCW286" s="208"/>
      <c r="OCX286" s="208"/>
      <c r="OCY286" s="208"/>
      <c r="OCZ286" s="208"/>
      <c r="ODA286" s="208"/>
      <c r="ODB286" s="208"/>
      <c r="ODC286" s="208"/>
      <c r="ODD286" s="208"/>
      <c r="ODE286" s="208"/>
      <c r="ODF286" s="208"/>
      <c r="ODG286" s="208"/>
      <c r="ODH286" s="208"/>
      <c r="ODI286" s="208"/>
      <c r="ODJ286" s="208"/>
      <c r="ODK286" s="208"/>
      <c r="ODL286" s="208"/>
      <c r="ODM286" s="208"/>
      <c r="ODN286" s="208"/>
      <c r="ODO286" s="208"/>
      <c r="ODP286" s="208"/>
      <c r="ODQ286" s="208"/>
      <c r="ODR286" s="208"/>
      <c r="ODS286" s="208"/>
      <c r="ODT286" s="208"/>
      <c r="ODU286" s="208"/>
      <c r="ODV286" s="208"/>
      <c r="ODW286" s="208"/>
      <c r="ODX286" s="208"/>
      <c r="ODY286" s="208"/>
      <c r="ODZ286" s="208"/>
      <c r="OEA286" s="208"/>
      <c r="OEB286" s="208"/>
      <c r="OEC286" s="208"/>
      <c r="OED286" s="208"/>
      <c r="OEE286" s="208"/>
      <c r="OEF286" s="208"/>
      <c r="OEG286" s="208"/>
      <c r="OEH286" s="208"/>
      <c r="OEI286" s="208"/>
      <c r="OEJ286" s="208"/>
      <c r="OEK286" s="208"/>
      <c r="OEL286" s="208"/>
      <c r="OEM286" s="208"/>
      <c r="OEN286" s="208"/>
      <c r="OEO286" s="208"/>
      <c r="OEP286" s="208"/>
      <c r="OEQ286" s="208"/>
      <c r="OER286" s="208"/>
      <c r="OES286" s="208"/>
      <c r="OET286" s="208"/>
      <c r="OEU286" s="208"/>
      <c r="OEV286" s="208"/>
      <c r="OEW286" s="208"/>
      <c r="OEX286" s="208"/>
      <c r="OEY286" s="208"/>
      <c r="OEZ286" s="208"/>
      <c r="OFA286" s="208"/>
      <c r="OFB286" s="208"/>
      <c r="OFC286" s="208"/>
      <c r="OFD286" s="208"/>
      <c r="OFE286" s="208"/>
      <c r="OFF286" s="208"/>
      <c r="OFG286" s="208"/>
      <c r="OFH286" s="208"/>
      <c r="OFI286" s="208"/>
      <c r="OFJ286" s="208"/>
      <c r="OFK286" s="208"/>
      <c r="OFL286" s="208"/>
      <c r="OFM286" s="208"/>
      <c r="OFN286" s="208"/>
      <c r="OFO286" s="208"/>
      <c r="OFP286" s="208"/>
      <c r="OFQ286" s="208"/>
      <c r="OFR286" s="208"/>
      <c r="OFS286" s="208"/>
      <c r="OFT286" s="208"/>
      <c r="OFU286" s="208"/>
      <c r="OFV286" s="208"/>
      <c r="OFW286" s="208"/>
      <c r="OFX286" s="208"/>
      <c r="OFY286" s="208"/>
      <c r="OFZ286" s="208"/>
      <c r="OGA286" s="208"/>
      <c r="OGB286" s="208"/>
      <c r="OGC286" s="208"/>
      <c r="OGD286" s="208"/>
      <c r="OGE286" s="208"/>
      <c r="OGF286" s="208"/>
      <c r="OGG286" s="208"/>
      <c r="OGH286" s="208"/>
      <c r="OGI286" s="208"/>
      <c r="OGJ286" s="208"/>
      <c r="OGK286" s="208"/>
      <c r="OGL286" s="208"/>
      <c r="OGM286" s="208"/>
      <c r="OGN286" s="208"/>
      <c r="OGO286" s="208"/>
      <c r="OGP286" s="208"/>
      <c r="OGQ286" s="208"/>
      <c r="OGR286" s="208"/>
      <c r="OGS286" s="208"/>
      <c r="OGT286" s="208"/>
      <c r="OGU286" s="208"/>
      <c r="OGV286" s="208"/>
      <c r="OGW286" s="208"/>
      <c r="OGX286" s="208"/>
      <c r="OGY286" s="208"/>
      <c r="OGZ286" s="208"/>
      <c r="OHA286" s="208"/>
      <c r="OHB286" s="208"/>
      <c r="OHC286" s="208"/>
      <c r="OHD286" s="208"/>
      <c r="OHE286" s="208"/>
      <c r="OHF286" s="208"/>
      <c r="OHG286" s="208"/>
      <c r="OHH286" s="208"/>
      <c r="OHI286" s="208"/>
      <c r="OHJ286" s="208"/>
      <c r="OHK286" s="208"/>
      <c r="OHL286" s="208"/>
      <c r="OHM286" s="208"/>
      <c r="OHN286" s="208"/>
      <c r="OHO286" s="208"/>
      <c r="OHP286" s="208"/>
      <c r="OHQ286" s="208"/>
      <c r="OHR286" s="208"/>
      <c r="OHS286" s="208"/>
      <c r="OHT286" s="208"/>
      <c r="OHU286" s="208"/>
      <c r="OHV286" s="208"/>
      <c r="OHW286" s="208"/>
      <c r="OHX286" s="208"/>
      <c r="OHY286" s="208"/>
      <c r="OHZ286" s="208"/>
      <c r="OIA286" s="208"/>
      <c r="OIB286" s="208"/>
      <c r="OIC286" s="208"/>
      <c r="OID286" s="208"/>
      <c r="OIE286" s="208"/>
      <c r="OIF286" s="208"/>
      <c r="OIG286" s="208"/>
      <c r="OIH286" s="208"/>
      <c r="OII286" s="208"/>
      <c r="OIJ286" s="208"/>
      <c r="OIK286" s="208"/>
      <c r="OIL286" s="208"/>
      <c r="OIM286" s="208"/>
      <c r="OIN286" s="208"/>
      <c r="OIO286" s="208"/>
      <c r="OIP286" s="208"/>
      <c r="OIQ286" s="208"/>
      <c r="OIR286" s="208"/>
      <c r="OIS286" s="208"/>
      <c r="OIT286" s="208"/>
      <c r="OIU286" s="208"/>
      <c r="OIV286" s="208"/>
      <c r="OIW286" s="208"/>
      <c r="OIX286" s="208"/>
      <c r="OIY286" s="208"/>
      <c r="OIZ286" s="208"/>
      <c r="OJA286" s="208"/>
      <c r="OJB286" s="208"/>
      <c r="OJC286" s="208"/>
      <c r="OJD286" s="208"/>
      <c r="OJE286" s="208"/>
      <c r="OJF286" s="208"/>
      <c r="OJG286" s="208"/>
      <c r="OJH286" s="208"/>
      <c r="OJI286" s="208"/>
      <c r="OJJ286" s="208"/>
      <c r="OJK286" s="208"/>
      <c r="OJL286" s="208"/>
      <c r="OJM286" s="208"/>
      <c r="OJN286" s="208"/>
      <c r="OJO286" s="208"/>
      <c r="OJP286" s="208"/>
      <c r="OJQ286" s="208"/>
      <c r="OJR286" s="208"/>
      <c r="OJS286" s="208"/>
      <c r="OJT286" s="208"/>
      <c r="OJU286" s="208"/>
      <c r="OJV286" s="208"/>
      <c r="OJW286" s="208"/>
      <c r="OJX286" s="208"/>
      <c r="OJY286" s="208"/>
      <c r="OJZ286" s="208"/>
      <c r="OKA286" s="208"/>
      <c r="OKB286" s="208"/>
      <c r="OKC286" s="208"/>
      <c r="OKD286" s="208"/>
      <c r="OKE286" s="208"/>
      <c r="OKF286" s="208"/>
      <c r="OKG286" s="208"/>
      <c r="OKH286" s="208"/>
      <c r="OKI286" s="208"/>
      <c r="OKJ286" s="208"/>
      <c r="OKK286" s="208"/>
      <c r="OKL286" s="208"/>
      <c r="OKM286" s="208"/>
      <c r="OKN286" s="208"/>
      <c r="OKO286" s="208"/>
      <c r="OKP286" s="208"/>
      <c r="OKQ286" s="208"/>
      <c r="OKR286" s="208"/>
      <c r="OKS286" s="208"/>
      <c r="OKT286" s="208"/>
      <c r="OKU286" s="208"/>
      <c r="OKV286" s="208"/>
      <c r="OKW286" s="208"/>
      <c r="OKX286" s="208"/>
      <c r="OKY286" s="208"/>
      <c r="OKZ286" s="208"/>
      <c r="OLA286" s="208"/>
      <c r="OLB286" s="208"/>
      <c r="OLC286" s="208"/>
      <c r="OLD286" s="208"/>
      <c r="OLE286" s="208"/>
      <c r="OLF286" s="208"/>
      <c r="OLG286" s="208"/>
      <c r="OLH286" s="208"/>
      <c r="OLI286" s="208"/>
      <c r="OLJ286" s="208"/>
      <c r="OLK286" s="208"/>
      <c r="OLL286" s="208"/>
      <c r="OLM286" s="208"/>
      <c r="OLN286" s="208"/>
      <c r="OLO286" s="208"/>
      <c r="OLP286" s="208"/>
      <c r="OLQ286" s="208"/>
      <c r="OLR286" s="208"/>
      <c r="OLS286" s="208"/>
      <c r="OLT286" s="208"/>
      <c r="OLU286" s="208"/>
      <c r="OLV286" s="208"/>
      <c r="OLW286" s="208"/>
      <c r="OLX286" s="208"/>
      <c r="OLY286" s="208"/>
      <c r="OLZ286" s="208"/>
      <c r="OMA286" s="208"/>
      <c r="OMB286" s="208"/>
      <c r="OMC286" s="208"/>
      <c r="OMD286" s="208"/>
      <c r="OME286" s="208"/>
      <c r="OMF286" s="208"/>
      <c r="OMG286" s="208"/>
      <c r="OMH286" s="208"/>
      <c r="OMI286" s="208"/>
      <c r="OMJ286" s="208"/>
      <c r="OMK286" s="208"/>
      <c r="OML286" s="208"/>
      <c r="OMM286" s="208"/>
      <c r="OMN286" s="208"/>
      <c r="OMO286" s="208"/>
      <c r="OMP286" s="208"/>
      <c r="OMQ286" s="208"/>
      <c r="OMR286" s="208"/>
      <c r="OMS286" s="208"/>
      <c r="OMT286" s="208"/>
      <c r="OMU286" s="208"/>
      <c r="OMV286" s="208"/>
      <c r="OMW286" s="208"/>
      <c r="OMX286" s="208"/>
      <c r="OMY286" s="208"/>
      <c r="OMZ286" s="208"/>
      <c r="ONA286" s="208"/>
      <c r="ONB286" s="208"/>
      <c r="ONC286" s="208"/>
      <c r="OND286" s="208"/>
      <c r="ONE286" s="208"/>
      <c r="ONF286" s="208"/>
      <c r="ONG286" s="208"/>
      <c r="ONH286" s="208"/>
      <c r="ONI286" s="208"/>
      <c r="ONJ286" s="208"/>
      <c r="ONK286" s="208"/>
      <c r="ONL286" s="208"/>
      <c r="ONM286" s="208"/>
      <c r="ONN286" s="208"/>
      <c r="ONO286" s="208"/>
      <c r="ONP286" s="208"/>
      <c r="ONQ286" s="208"/>
      <c r="ONR286" s="208"/>
      <c r="ONS286" s="208"/>
      <c r="ONT286" s="208"/>
      <c r="ONU286" s="208"/>
      <c r="ONV286" s="208"/>
      <c r="ONW286" s="208"/>
      <c r="ONX286" s="208"/>
      <c r="ONY286" s="208"/>
      <c r="ONZ286" s="208"/>
      <c r="OOA286" s="208"/>
      <c r="OOB286" s="208"/>
      <c r="OOC286" s="208"/>
      <c r="OOD286" s="208"/>
      <c r="OOE286" s="208"/>
      <c r="OOF286" s="208"/>
      <c r="OOG286" s="208"/>
      <c r="OOH286" s="208"/>
      <c r="OOI286" s="208"/>
      <c r="OOJ286" s="208"/>
      <c r="OOK286" s="208"/>
      <c r="OOL286" s="208"/>
      <c r="OOM286" s="208"/>
      <c r="OON286" s="208"/>
      <c r="OOO286" s="208"/>
      <c r="OOP286" s="208"/>
      <c r="OOQ286" s="208"/>
      <c r="OOR286" s="208"/>
      <c r="OOS286" s="208"/>
      <c r="OOT286" s="208"/>
      <c r="OOU286" s="208"/>
      <c r="OOV286" s="208"/>
      <c r="OOW286" s="208"/>
      <c r="OOX286" s="208"/>
      <c r="OOY286" s="208"/>
      <c r="OOZ286" s="208"/>
      <c r="OPA286" s="208"/>
      <c r="OPB286" s="208"/>
      <c r="OPC286" s="208"/>
      <c r="OPD286" s="208"/>
      <c r="OPE286" s="208"/>
      <c r="OPF286" s="208"/>
      <c r="OPG286" s="208"/>
      <c r="OPH286" s="208"/>
      <c r="OPI286" s="208"/>
      <c r="OPJ286" s="208"/>
      <c r="OPK286" s="208"/>
      <c r="OPL286" s="208"/>
      <c r="OPM286" s="208"/>
      <c r="OPN286" s="208"/>
      <c r="OPO286" s="208"/>
      <c r="OPP286" s="208"/>
      <c r="OPQ286" s="208"/>
      <c r="OPR286" s="208"/>
      <c r="OPS286" s="208"/>
      <c r="OPT286" s="208"/>
      <c r="OPU286" s="208"/>
      <c r="OPV286" s="208"/>
      <c r="OPW286" s="208"/>
      <c r="OPX286" s="208"/>
      <c r="OPY286" s="208"/>
      <c r="OPZ286" s="208"/>
      <c r="OQA286" s="208"/>
      <c r="OQB286" s="208"/>
      <c r="OQC286" s="208"/>
      <c r="OQD286" s="208"/>
      <c r="OQE286" s="208"/>
      <c r="OQF286" s="208"/>
      <c r="OQG286" s="208"/>
      <c r="OQH286" s="208"/>
      <c r="OQI286" s="208"/>
      <c r="OQJ286" s="208"/>
      <c r="OQK286" s="208"/>
      <c r="OQL286" s="208"/>
      <c r="OQM286" s="208"/>
      <c r="OQN286" s="208"/>
      <c r="OQO286" s="208"/>
      <c r="OQP286" s="208"/>
      <c r="OQQ286" s="208"/>
      <c r="OQR286" s="208"/>
      <c r="OQS286" s="208"/>
      <c r="OQT286" s="208"/>
      <c r="OQU286" s="208"/>
      <c r="OQV286" s="208"/>
      <c r="OQW286" s="208"/>
      <c r="OQX286" s="208"/>
      <c r="OQY286" s="208"/>
      <c r="OQZ286" s="208"/>
      <c r="ORA286" s="208"/>
      <c r="ORB286" s="208"/>
      <c r="ORC286" s="208"/>
      <c r="ORD286" s="208"/>
      <c r="ORE286" s="208"/>
      <c r="ORF286" s="208"/>
      <c r="ORG286" s="208"/>
      <c r="ORH286" s="208"/>
      <c r="ORI286" s="208"/>
      <c r="ORJ286" s="208"/>
      <c r="ORK286" s="208"/>
      <c r="ORL286" s="208"/>
      <c r="ORM286" s="208"/>
      <c r="ORN286" s="208"/>
      <c r="ORO286" s="208"/>
      <c r="ORP286" s="208"/>
      <c r="ORQ286" s="208"/>
      <c r="ORR286" s="208"/>
      <c r="ORS286" s="208"/>
      <c r="ORT286" s="208"/>
      <c r="ORU286" s="208"/>
      <c r="ORV286" s="208"/>
      <c r="ORW286" s="208"/>
      <c r="ORX286" s="208"/>
      <c r="ORY286" s="208"/>
      <c r="ORZ286" s="208"/>
      <c r="OSA286" s="208"/>
      <c r="OSB286" s="208"/>
      <c r="OSC286" s="208"/>
      <c r="OSD286" s="208"/>
      <c r="OSE286" s="208"/>
      <c r="OSF286" s="208"/>
      <c r="OSG286" s="208"/>
      <c r="OSH286" s="208"/>
      <c r="OSI286" s="208"/>
      <c r="OSJ286" s="208"/>
      <c r="OSK286" s="208"/>
      <c r="OSL286" s="208"/>
      <c r="OSM286" s="208"/>
      <c r="OSN286" s="208"/>
      <c r="OSO286" s="208"/>
      <c r="OSP286" s="208"/>
      <c r="OSQ286" s="208"/>
      <c r="OSR286" s="208"/>
      <c r="OSS286" s="208"/>
      <c r="OST286" s="208"/>
      <c r="OSU286" s="208"/>
      <c r="OSV286" s="208"/>
      <c r="OSW286" s="208"/>
      <c r="OSX286" s="208"/>
      <c r="OSY286" s="208"/>
      <c r="OSZ286" s="208"/>
      <c r="OTA286" s="208"/>
      <c r="OTB286" s="208"/>
      <c r="OTC286" s="208"/>
      <c r="OTD286" s="208"/>
      <c r="OTE286" s="208"/>
      <c r="OTF286" s="208"/>
      <c r="OTG286" s="208"/>
      <c r="OTH286" s="208"/>
      <c r="OTI286" s="208"/>
      <c r="OTJ286" s="208"/>
      <c r="OTK286" s="208"/>
      <c r="OTL286" s="208"/>
      <c r="OTM286" s="208"/>
      <c r="OTN286" s="208"/>
      <c r="OTO286" s="208"/>
      <c r="OTP286" s="208"/>
      <c r="OTQ286" s="208"/>
      <c r="OTR286" s="208"/>
      <c r="OTS286" s="208"/>
      <c r="OTT286" s="208"/>
      <c r="OTU286" s="208"/>
      <c r="OTV286" s="208"/>
      <c r="OTW286" s="208"/>
      <c r="OTX286" s="208"/>
      <c r="OTY286" s="208"/>
      <c r="OTZ286" s="208"/>
      <c r="OUA286" s="208"/>
      <c r="OUB286" s="208"/>
      <c r="OUC286" s="208"/>
      <c r="OUD286" s="208"/>
      <c r="OUE286" s="208"/>
      <c r="OUF286" s="208"/>
      <c r="OUG286" s="208"/>
      <c r="OUH286" s="208"/>
      <c r="OUI286" s="208"/>
      <c r="OUJ286" s="208"/>
      <c r="OUK286" s="208"/>
      <c r="OUL286" s="208"/>
      <c r="OUM286" s="208"/>
      <c r="OUN286" s="208"/>
      <c r="OUO286" s="208"/>
      <c r="OUP286" s="208"/>
      <c r="OUQ286" s="208"/>
      <c r="OUR286" s="208"/>
      <c r="OUS286" s="208"/>
      <c r="OUT286" s="208"/>
      <c r="OUU286" s="208"/>
      <c r="OUV286" s="208"/>
      <c r="OUW286" s="208"/>
      <c r="OUX286" s="208"/>
      <c r="OUY286" s="208"/>
      <c r="OUZ286" s="208"/>
      <c r="OVA286" s="208"/>
      <c r="OVB286" s="208"/>
      <c r="OVC286" s="208"/>
      <c r="OVD286" s="208"/>
      <c r="OVE286" s="208"/>
      <c r="OVF286" s="208"/>
      <c r="OVG286" s="208"/>
      <c r="OVH286" s="208"/>
      <c r="OVI286" s="208"/>
      <c r="OVJ286" s="208"/>
      <c r="OVK286" s="208"/>
      <c r="OVL286" s="208"/>
      <c r="OVM286" s="208"/>
      <c r="OVN286" s="208"/>
      <c r="OVO286" s="208"/>
      <c r="OVP286" s="208"/>
      <c r="OVQ286" s="208"/>
      <c r="OVR286" s="208"/>
      <c r="OVS286" s="208"/>
      <c r="OVT286" s="208"/>
      <c r="OVU286" s="208"/>
      <c r="OVV286" s="208"/>
      <c r="OVW286" s="208"/>
      <c r="OVX286" s="208"/>
      <c r="OVY286" s="208"/>
      <c r="OVZ286" s="208"/>
      <c r="OWA286" s="208"/>
      <c r="OWB286" s="208"/>
      <c r="OWC286" s="208"/>
      <c r="OWD286" s="208"/>
      <c r="OWE286" s="208"/>
      <c r="OWF286" s="208"/>
      <c r="OWG286" s="208"/>
      <c r="OWH286" s="208"/>
      <c r="OWI286" s="208"/>
      <c r="OWJ286" s="208"/>
      <c r="OWK286" s="208"/>
      <c r="OWL286" s="208"/>
      <c r="OWM286" s="208"/>
      <c r="OWN286" s="208"/>
      <c r="OWO286" s="208"/>
      <c r="OWP286" s="208"/>
      <c r="OWQ286" s="208"/>
      <c r="OWR286" s="208"/>
      <c r="OWS286" s="208"/>
      <c r="OWT286" s="208"/>
      <c r="OWU286" s="208"/>
      <c r="OWV286" s="208"/>
      <c r="OWW286" s="208"/>
      <c r="OWX286" s="208"/>
      <c r="OWY286" s="208"/>
      <c r="OWZ286" s="208"/>
      <c r="OXA286" s="208"/>
      <c r="OXB286" s="208"/>
      <c r="OXC286" s="208"/>
      <c r="OXD286" s="208"/>
      <c r="OXE286" s="208"/>
      <c r="OXF286" s="208"/>
      <c r="OXG286" s="208"/>
      <c r="OXH286" s="208"/>
      <c r="OXI286" s="208"/>
      <c r="OXJ286" s="208"/>
      <c r="OXK286" s="208"/>
      <c r="OXL286" s="208"/>
      <c r="OXM286" s="208"/>
      <c r="OXN286" s="208"/>
      <c r="OXO286" s="208"/>
      <c r="OXP286" s="208"/>
      <c r="OXQ286" s="208"/>
      <c r="OXR286" s="208"/>
      <c r="OXS286" s="208"/>
      <c r="OXT286" s="208"/>
      <c r="OXU286" s="208"/>
      <c r="OXV286" s="208"/>
      <c r="OXW286" s="208"/>
      <c r="OXX286" s="208"/>
      <c r="OXY286" s="208"/>
      <c r="OXZ286" s="208"/>
      <c r="OYA286" s="208"/>
      <c r="OYB286" s="208"/>
      <c r="OYC286" s="208"/>
      <c r="OYD286" s="208"/>
      <c r="OYE286" s="208"/>
      <c r="OYF286" s="208"/>
      <c r="OYG286" s="208"/>
      <c r="OYH286" s="208"/>
      <c r="OYI286" s="208"/>
      <c r="OYJ286" s="208"/>
      <c r="OYK286" s="208"/>
      <c r="OYL286" s="208"/>
      <c r="OYM286" s="208"/>
      <c r="OYN286" s="208"/>
      <c r="OYO286" s="208"/>
      <c r="OYP286" s="208"/>
      <c r="OYQ286" s="208"/>
      <c r="OYR286" s="208"/>
      <c r="OYS286" s="208"/>
      <c r="OYT286" s="208"/>
      <c r="OYU286" s="208"/>
      <c r="OYV286" s="208"/>
      <c r="OYW286" s="208"/>
      <c r="OYX286" s="208"/>
      <c r="OYY286" s="208"/>
      <c r="OYZ286" s="208"/>
      <c r="OZA286" s="208"/>
      <c r="OZB286" s="208"/>
      <c r="OZC286" s="208"/>
      <c r="OZD286" s="208"/>
      <c r="OZE286" s="208"/>
      <c r="OZF286" s="208"/>
      <c r="OZG286" s="208"/>
      <c r="OZH286" s="208"/>
      <c r="OZI286" s="208"/>
      <c r="OZJ286" s="208"/>
      <c r="OZK286" s="208"/>
      <c r="OZL286" s="208"/>
      <c r="OZM286" s="208"/>
      <c r="OZN286" s="208"/>
      <c r="OZO286" s="208"/>
      <c r="OZP286" s="208"/>
      <c r="OZQ286" s="208"/>
      <c r="OZR286" s="208"/>
      <c r="OZS286" s="208"/>
      <c r="OZT286" s="208"/>
      <c r="OZU286" s="208"/>
      <c r="OZV286" s="208"/>
      <c r="OZW286" s="208"/>
      <c r="OZX286" s="208"/>
      <c r="OZY286" s="208"/>
      <c r="OZZ286" s="208"/>
      <c r="PAA286" s="208"/>
      <c r="PAB286" s="208"/>
      <c r="PAC286" s="208"/>
      <c r="PAD286" s="208"/>
      <c r="PAE286" s="208"/>
      <c r="PAF286" s="208"/>
      <c r="PAG286" s="208"/>
      <c r="PAH286" s="208"/>
      <c r="PAI286" s="208"/>
      <c r="PAJ286" s="208"/>
      <c r="PAK286" s="208"/>
      <c r="PAL286" s="208"/>
      <c r="PAM286" s="208"/>
      <c r="PAN286" s="208"/>
      <c r="PAO286" s="208"/>
      <c r="PAP286" s="208"/>
      <c r="PAQ286" s="208"/>
      <c r="PAR286" s="208"/>
      <c r="PAS286" s="208"/>
      <c r="PAT286" s="208"/>
      <c r="PAU286" s="208"/>
      <c r="PAV286" s="208"/>
      <c r="PAW286" s="208"/>
      <c r="PAX286" s="208"/>
      <c r="PAY286" s="208"/>
      <c r="PAZ286" s="208"/>
      <c r="PBA286" s="208"/>
      <c r="PBB286" s="208"/>
      <c r="PBC286" s="208"/>
      <c r="PBD286" s="208"/>
      <c r="PBE286" s="208"/>
      <c r="PBF286" s="208"/>
      <c r="PBG286" s="208"/>
      <c r="PBH286" s="208"/>
      <c r="PBI286" s="208"/>
      <c r="PBJ286" s="208"/>
      <c r="PBK286" s="208"/>
      <c r="PBL286" s="208"/>
      <c r="PBM286" s="208"/>
      <c r="PBN286" s="208"/>
      <c r="PBO286" s="208"/>
      <c r="PBP286" s="208"/>
      <c r="PBQ286" s="208"/>
      <c r="PBR286" s="208"/>
      <c r="PBS286" s="208"/>
      <c r="PBT286" s="208"/>
      <c r="PBU286" s="208"/>
      <c r="PBV286" s="208"/>
      <c r="PBW286" s="208"/>
      <c r="PBX286" s="208"/>
      <c r="PBY286" s="208"/>
      <c r="PBZ286" s="208"/>
      <c r="PCA286" s="208"/>
      <c r="PCB286" s="208"/>
      <c r="PCC286" s="208"/>
      <c r="PCD286" s="208"/>
      <c r="PCE286" s="208"/>
      <c r="PCF286" s="208"/>
      <c r="PCG286" s="208"/>
      <c r="PCH286" s="208"/>
      <c r="PCI286" s="208"/>
      <c r="PCJ286" s="208"/>
      <c r="PCK286" s="208"/>
      <c r="PCL286" s="208"/>
      <c r="PCM286" s="208"/>
      <c r="PCN286" s="208"/>
      <c r="PCO286" s="208"/>
      <c r="PCP286" s="208"/>
      <c r="PCQ286" s="208"/>
      <c r="PCR286" s="208"/>
      <c r="PCS286" s="208"/>
      <c r="PCT286" s="208"/>
      <c r="PCU286" s="208"/>
      <c r="PCV286" s="208"/>
      <c r="PCW286" s="208"/>
      <c r="PCX286" s="208"/>
      <c r="PCY286" s="208"/>
      <c r="PCZ286" s="208"/>
      <c r="PDA286" s="208"/>
      <c r="PDB286" s="208"/>
      <c r="PDC286" s="208"/>
      <c r="PDD286" s="208"/>
      <c r="PDE286" s="208"/>
      <c r="PDF286" s="208"/>
      <c r="PDG286" s="208"/>
      <c r="PDH286" s="208"/>
      <c r="PDI286" s="208"/>
      <c r="PDJ286" s="208"/>
      <c r="PDK286" s="208"/>
      <c r="PDL286" s="208"/>
      <c r="PDM286" s="208"/>
      <c r="PDN286" s="208"/>
      <c r="PDO286" s="208"/>
      <c r="PDP286" s="208"/>
      <c r="PDQ286" s="208"/>
      <c r="PDR286" s="208"/>
      <c r="PDS286" s="208"/>
      <c r="PDT286" s="208"/>
      <c r="PDU286" s="208"/>
      <c r="PDV286" s="208"/>
      <c r="PDW286" s="208"/>
      <c r="PDX286" s="208"/>
      <c r="PDY286" s="208"/>
      <c r="PDZ286" s="208"/>
      <c r="PEA286" s="208"/>
      <c r="PEB286" s="208"/>
      <c r="PEC286" s="208"/>
      <c r="PED286" s="208"/>
      <c r="PEE286" s="208"/>
      <c r="PEF286" s="208"/>
      <c r="PEG286" s="208"/>
      <c r="PEH286" s="208"/>
      <c r="PEI286" s="208"/>
      <c r="PEJ286" s="208"/>
      <c r="PEK286" s="208"/>
      <c r="PEL286" s="208"/>
      <c r="PEM286" s="208"/>
      <c r="PEN286" s="208"/>
      <c r="PEO286" s="208"/>
      <c r="PEP286" s="208"/>
      <c r="PEQ286" s="208"/>
      <c r="PER286" s="208"/>
      <c r="PES286" s="208"/>
      <c r="PET286" s="208"/>
      <c r="PEU286" s="208"/>
      <c r="PEV286" s="208"/>
      <c r="PEW286" s="208"/>
      <c r="PEX286" s="208"/>
      <c r="PEY286" s="208"/>
      <c r="PEZ286" s="208"/>
      <c r="PFA286" s="208"/>
      <c r="PFB286" s="208"/>
      <c r="PFC286" s="208"/>
      <c r="PFD286" s="208"/>
      <c r="PFE286" s="208"/>
      <c r="PFF286" s="208"/>
      <c r="PFG286" s="208"/>
      <c r="PFH286" s="208"/>
      <c r="PFI286" s="208"/>
      <c r="PFJ286" s="208"/>
      <c r="PFK286" s="208"/>
      <c r="PFL286" s="208"/>
      <c r="PFM286" s="208"/>
      <c r="PFN286" s="208"/>
      <c r="PFO286" s="208"/>
      <c r="PFP286" s="208"/>
      <c r="PFQ286" s="208"/>
      <c r="PFR286" s="208"/>
      <c r="PFS286" s="208"/>
      <c r="PFT286" s="208"/>
      <c r="PFU286" s="208"/>
      <c r="PFV286" s="208"/>
      <c r="PFW286" s="208"/>
      <c r="PFX286" s="208"/>
      <c r="PFY286" s="208"/>
      <c r="PFZ286" s="208"/>
      <c r="PGA286" s="208"/>
      <c r="PGB286" s="208"/>
      <c r="PGC286" s="208"/>
      <c r="PGD286" s="208"/>
      <c r="PGE286" s="208"/>
      <c r="PGF286" s="208"/>
      <c r="PGG286" s="208"/>
      <c r="PGH286" s="208"/>
      <c r="PGI286" s="208"/>
      <c r="PGJ286" s="208"/>
      <c r="PGK286" s="208"/>
      <c r="PGL286" s="208"/>
      <c r="PGM286" s="208"/>
      <c r="PGN286" s="208"/>
      <c r="PGO286" s="208"/>
      <c r="PGP286" s="208"/>
      <c r="PGQ286" s="208"/>
      <c r="PGR286" s="208"/>
      <c r="PGS286" s="208"/>
      <c r="PGT286" s="208"/>
      <c r="PGU286" s="208"/>
      <c r="PGV286" s="208"/>
      <c r="PGW286" s="208"/>
      <c r="PGX286" s="208"/>
      <c r="PGY286" s="208"/>
      <c r="PGZ286" s="208"/>
      <c r="PHA286" s="208"/>
      <c r="PHB286" s="208"/>
      <c r="PHC286" s="208"/>
      <c r="PHD286" s="208"/>
      <c r="PHE286" s="208"/>
      <c r="PHF286" s="208"/>
      <c r="PHG286" s="208"/>
      <c r="PHH286" s="208"/>
      <c r="PHI286" s="208"/>
      <c r="PHJ286" s="208"/>
      <c r="PHK286" s="208"/>
      <c r="PHL286" s="208"/>
      <c r="PHM286" s="208"/>
      <c r="PHN286" s="208"/>
      <c r="PHO286" s="208"/>
      <c r="PHP286" s="208"/>
      <c r="PHQ286" s="208"/>
      <c r="PHR286" s="208"/>
      <c r="PHS286" s="208"/>
      <c r="PHT286" s="208"/>
      <c r="PHU286" s="208"/>
      <c r="PHV286" s="208"/>
      <c r="PHW286" s="208"/>
      <c r="PHX286" s="208"/>
      <c r="PHY286" s="208"/>
      <c r="PHZ286" s="208"/>
      <c r="PIA286" s="208"/>
      <c r="PIB286" s="208"/>
      <c r="PIC286" s="208"/>
      <c r="PID286" s="208"/>
      <c r="PIE286" s="208"/>
      <c r="PIF286" s="208"/>
      <c r="PIG286" s="208"/>
      <c r="PIH286" s="208"/>
      <c r="PII286" s="208"/>
      <c r="PIJ286" s="208"/>
      <c r="PIK286" s="208"/>
      <c r="PIL286" s="208"/>
      <c r="PIM286" s="208"/>
      <c r="PIN286" s="208"/>
      <c r="PIO286" s="208"/>
      <c r="PIP286" s="208"/>
      <c r="PIQ286" s="208"/>
      <c r="PIR286" s="208"/>
      <c r="PIS286" s="208"/>
      <c r="PIT286" s="208"/>
      <c r="PIU286" s="208"/>
      <c r="PIV286" s="208"/>
      <c r="PIW286" s="208"/>
      <c r="PIX286" s="208"/>
      <c r="PIY286" s="208"/>
      <c r="PIZ286" s="208"/>
      <c r="PJA286" s="208"/>
      <c r="PJB286" s="208"/>
      <c r="PJC286" s="208"/>
      <c r="PJD286" s="208"/>
      <c r="PJE286" s="208"/>
      <c r="PJF286" s="208"/>
      <c r="PJG286" s="208"/>
      <c r="PJH286" s="208"/>
      <c r="PJI286" s="208"/>
      <c r="PJJ286" s="208"/>
      <c r="PJK286" s="208"/>
      <c r="PJL286" s="208"/>
      <c r="PJM286" s="208"/>
      <c r="PJN286" s="208"/>
      <c r="PJO286" s="208"/>
      <c r="PJP286" s="208"/>
      <c r="PJQ286" s="208"/>
      <c r="PJR286" s="208"/>
      <c r="PJS286" s="208"/>
      <c r="PJT286" s="208"/>
      <c r="PJU286" s="208"/>
      <c r="PJV286" s="208"/>
      <c r="PJW286" s="208"/>
      <c r="PJX286" s="208"/>
      <c r="PJY286" s="208"/>
      <c r="PJZ286" s="208"/>
      <c r="PKA286" s="208"/>
      <c r="PKB286" s="208"/>
      <c r="PKC286" s="208"/>
      <c r="PKD286" s="208"/>
      <c r="PKE286" s="208"/>
      <c r="PKF286" s="208"/>
      <c r="PKG286" s="208"/>
      <c r="PKH286" s="208"/>
      <c r="PKI286" s="208"/>
      <c r="PKJ286" s="208"/>
      <c r="PKK286" s="208"/>
      <c r="PKL286" s="208"/>
      <c r="PKM286" s="208"/>
      <c r="PKN286" s="208"/>
      <c r="PKO286" s="208"/>
      <c r="PKP286" s="208"/>
      <c r="PKQ286" s="208"/>
      <c r="PKR286" s="208"/>
      <c r="PKS286" s="208"/>
      <c r="PKT286" s="208"/>
      <c r="PKU286" s="208"/>
      <c r="PKV286" s="208"/>
      <c r="PKW286" s="208"/>
      <c r="PKX286" s="208"/>
      <c r="PKY286" s="208"/>
      <c r="PKZ286" s="208"/>
      <c r="PLA286" s="208"/>
      <c r="PLB286" s="208"/>
      <c r="PLC286" s="208"/>
      <c r="PLD286" s="208"/>
      <c r="PLE286" s="208"/>
      <c r="PLF286" s="208"/>
      <c r="PLG286" s="208"/>
      <c r="PLH286" s="208"/>
      <c r="PLI286" s="208"/>
      <c r="PLJ286" s="208"/>
      <c r="PLK286" s="208"/>
      <c r="PLL286" s="208"/>
      <c r="PLM286" s="208"/>
      <c r="PLN286" s="208"/>
      <c r="PLO286" s="208"/>
      <c r="PLP286" s="208"/>
      <c r="PLQ286" s="208"/>
      <c r="PLR286" s="208"/>
      <c r="PLS286" s="208"/>
      <c r="PLT286" s="208"/>
      <c r="PLU286" s="208"/>
      <c r="PLV286" s="208"/>
      <c r="PLW286" s="208"/>
      <c r="PLX286" s="208"/>
      <c r="PLY286" s="208"/>
      <c r="PLZ286" s="208"/>
      <c r="PMA286" s="208"/>
      <c r="PMB286" s="208"/>
      <c r="PMC286" s="208"/>
      <c r="PMD286" s="208"/>
      <c r="PME286" s="208"/>
      <c r="PMF286" s="208"/>
      <c r="PMG286" s="208"/>
      <c r="PMH286" s="208"/>
      <c r="PMI286" s="208"/>
      <c r="PMJ286" s="208"/>
      <c r="PMK286" s="208"/>
      <c r="PML286" s="208"/>
      <c r="PMM286" s="208"/>
      <c r="PMN286" s="208"/>
      <c r="PMO286" s="208"/>
      <c r="PMP286" s="208"/>
      <c r="PMQ286" s="208"/>
      <c r="PMR286" s="208"/>
      <c r="PMS286" s="208"/>
      <c r="PMT286" s="208"/>
      <c r="PMU286" s="208"/>
      <c r="PMV286" s="208"/>
      <c r="PMW286" s="208"/>
      <c r="PMX286" s="208"/>
      <c r="PMY286" s="208"/>
      <c r="PMZ286" s="208"/>
      <c r="PNA286" s="208"/>
      <c r="PNB286" s="208"/>
      <c r="PNC286" s="208"/>
      <c r="PND286" s="208"/>
      <c r="PNE286" s="208"/>
      <c r="PNF286" s="208"/>
      <c r="PNG286" s="208"/>
      <c r="PNH286" s="208"/>
      <c r="PNI286" s="208"/>
      <c r="PNJ286" s="208"/>
      <c r="PNK286" s="208"/>
      <c r="PNL286" s="208"/>
      <c r="PNM286" s="208"/>
      <c r="PNN286" s="208"/>
      <c r="PNO286" s="208"/>
      <c r="PNP286" s="208"/>
      <c r="PNQ286" s="208"/>
      <c r="PNR286" s="208"/>
      <c r="PNS286" s="208"/>
      <c r="PNT286" s="208"/>
      <c r="PNU286" s="208"/>
      <c r="PNV286" s="208"/>
      <c r="PNW286" s="208"/>
      <c r="PNX286" s="208"/>
      <c r="PNY286" s="208"/>
      <c r="PNZ286" s="208"/>
      <c r="POA286" s="208"/>
      <c r="POB286" s="208"/>
      <c r="POC286" s="208"/>
      <c r="POD286" s="208"/>
      <c r="POE286" s="208"/>
      <c r="POF286" s="208"/>
      <c r="POG286" s="208"/>
      <c r="POH286" s="208"/>
      <c r="POI286" s="208"/>
      <c r="POJ286" s="208"/>
      <c r="POK286" s="208"/>
      <c r="POL286" s="208"/>
      <c r="POM286" s="208"/>
      <c r="PON286" s="208"/>
      <c r="POO286" s="208"/>
      <c r="POP286" s="208"/>
      <c r="POQ286" s="208"/>
      <c r="POR286" s="208"/>
      <c r="POS286" s="208"/>
      <c r="POT286" s="208"/>
      <c r="POU286" s="208"/>
      <c r="POV286" s="208"/>
      <c r="POW286" s="208"/>
      <c r="POX286" s="208"/>
      <c r="POY286" s="208"/>
      <c r="POZ286" s="208"/>
      <c r="PPA286" s="208"/>
      <c r="PPB286" s="208"/>
      <c r="PPC286" s="208"/>
      <c r="PPD286" s="208"/>
      <c r="PPE286" s="208"/>
      <c r="PPF286" s="208"/>
      <c r="PPG286" s="208"/>
      <c r="PPH286" s="208"/>
      <c r="PPI286" s="208"/>
      <c r="PPJ286" s="208"/>
      <c r="PPK286" s="208"/>
      <c r="PPL286" s="208"/>
      <c r="PPM286" s="208"/>
      <c r="PPN286" s="208"/>
      <c r="PPO286" s="208"/>
      <c r="PPP286" s="208"/>
      <c r="PPQ286" s="208"/>
      <c r="PPR286" s="208"/>
      <c r="PPS286" s="208"/>
      <c r="PPT286" s="208"/>
      <c r="PPU286" s="208"/>
      <c r="PPV286" s="208"/>
      <c r="PPW286" s="208"/>
      <c r="PPX286" s="208"/>
      <c r="PPY286" s="208"/>
      <c r="PPZ286" s="208"/>
      <c r="PQA286" s="208"/>
      <c r="PQB286" s="208"/>
      <c r="PQC286" s="208"/>
      <c r="PQD286" s="208"/>
      <c r="PQE286" s="208"/>
      <c r="PQF286" s="208"/>
      <c r="PQG286" s="208"/>
      <c r="PQH286" s="208"/>
      <c r="PQI286" s="208"/>
      <c r="PQJ286" s="208"/>
      <c r="PQK286" s="208"/>
      <c r="PQL286" s="208"/>
      <c r="PQM286" s="208"/>
      <c r="PQN286" s="208"/>
      <c r="PQO286" s="208"/>
      <c r="PQP286" s="208"/>
      <c r="PQQ286" s="208"/>
      <c r="PQR286" s="208"/>
      <c r="PQS286" s="208"/>
      <c r="PQT286" s="208"/>
      <c r="PQU286" s="208"/>
      <c r="PQV286" s="208"/>
      <c r="PQW286" s="208"/>
      <c r="PQX286" s="208"/>
      <c r="PQY286" s="208"/>
      <c r="PQZ286" s="208"/>
      <c r="PRA286" s="208"/>
      <c r="PRB286" s="208"/>
      <c r="PRC286" s="208"/>
      <c r="PRD286" s="208"/>
      <c r="PRE286" s="208"/>
      <c r="PRF286" s="208"/>
      <c r="PRG286" s="208"/>
      <c r="PRH286" s="208"/>
      <c r="PRI286" s="208"/>
      <c r="PRJ286" s="208"/>
      <c r="PRK286" s="208"/>
      <c r="PRL286" s="208"/>
      <c r="PRM286" s="208"/>
      <c r="PRN286" s="208"/>
      <c r="PRO286" s="208"/>
      <c r="PRP286" s="208"/>
      <c r="PRQ286" s="208"/>
      <c r="PRR286" s="208"/>
      <c r="PRS286" s="208"/>
      <c r="PRT286" s="208"/>
      <c r="PRU286" s="208"/>
      <c r="PRV286" s="208"/>
      <c r="PRW286" s="208"/>
      <c r="PRX286" s="208"/>
      <c r="PRY286" s="208"/>
      <c r="PRZ286" s="208"/>
      <c r="PSA286" s="208"/>
      <c r="PSB286" s="208"/>
      <c r="PSC286" s="208"/>
      <c r="PSD286" s="208"/>
      <c r="PSE286" s="208"/>
      <c r="PSF286" s="208"/>
      <c r="PSG286" s="208"/>
      <c r="PSH286" s="208"/>
      <c r="PSI286" s="208"/>
      <c r="PSJ286" s="208"/>
      <c r="PSK286" s="208"/>
      <c r="PSL286" s="208"/>
      <c r="PSM286" s="208"/>
      <c r="PSN286" s="208"/>
      <c r="PSO286" s="208"/>
      <c r="PSP286" s="208"/>
      <c r="PSQ286" s="208"/>
      <c r="PSR286" s="208"/>
      <c r="PSS286" s="208"/>
      <c r="PST286" s="208"/>
      <c r="PSU286" s="208"/>
      <c r="PSV286" s="208"/>
      <c r="PSW286" s="208"/>
      <c r="PSX286" s="208"/>
      <c r="PSY286" s="208"/>
      <c r="PSZ286" s="208"/>
      <c r="PTA286" s="208"/>
      <c r="PTB286" s="208"/>
      <c r="PTC286" s="208"/>
      <c r="PTD286" s="208"/>
      <c r="PTE286" s="208"/>
      <c r="PTF286" s="208"/>
      <c r="PTG286" s="208"/>
      <c r="PTH286" s="208"/>
      <c r="PTI286" s="208"/>
      <c r="PTJ286" s="208"/>
      <c r="PTK286" s="208"/>
      <c r="PTL286" s="208"/>
      <c r="PTM286" s="208"/>
      <c r="PTN286" s="208"/>
      <c r="PTO286" s="208"/>
      <c r="PTP286" s="208"/>
      <c r="PTQ286" s="208"/>
      <c r="PTR286" s="208"/>
      <c r="PTS286" s="208"/>
      <c r="PTT286" s="208"/>
      <c r="PTU286" s="208"/>
      <c r="PTV286" s="208"/>
      <c r="PTW286" s="208"/>
      <c r="PTX286" s="208"/>
      <c r="PTY286" s="208"/>
      <c r="PTZ286" s="208"/>
      <c r="PUA286" s="208"/>
      <c r="PUB286" s="208"/>
      <c r="PUC286" s="208"/>
      <c r="PUD286" s="208"/>
      <c r="PUE286" s="208"/>
      <c r="PUF286" s="208"/>
      <c r="PUG286" s="208"/>
      <c r="PUH286" s="208"/>
      <c r="PUI286" s="208"/>
      <c r="PUJ286" s="208"/>
      <c r="PUK286" s="208"/>
      <c r="PUL286" s="208"/>
      <c r="PUM286" s="208"/>
      <c r="PUN286" s="208"/>
      <c r="PUO286" s="208"/>
      <c r="PUP286" s="208"/>
      <c r="PUQ286" s="208"/>
      <c r="PUR286" s="208"/>
      <c r="PUS286" s="208"/>
      <c r="PUT286" s="208"/>
      <c r="PUU286" s="208"/>
      <c r="PUV286" s="208"/>
      <c r="PUW286" s="208"/>
      <c r="PUX286" s="208"/>
      <c r="PUY286" s="208"/>
      <c r="PUZ286" s="208"/>
      <c r="PVA286" s="208"/>
      <c r="PVB286" s="208"/>
      <c r="PVC286" s="208"/>
      <c r="PVD286" s="208"/>
      <c r="PVE286" s="208"/>
      <c r="PVF286" s="208"/>
      <c r="PVG286" s="208"/>
      <c r="PVH286" s="208"/>
      <c r="PVI286" s="208"/>
      <c r="PVJ286" s="208"/>
      <c r="PVK286" s="208"/>
      <c r="PVL286" s="208"/>
      <c r="PVM286" s="208"/>
      <c r="PVN286" s="208"/>
      <c r="PVO286" s="208"/>
      <c r="PVP286" s="208"/>
      <c r="PVQ286" s="208"/>
      <c r="PVR286" s="208"/>
      <c r="PVS286" s="208"/>
      <c r="PVT286" s="208"/>
      <c r="PVU286" s="208"/>
      <c r="PVV286" s="208"/>
      <c r="PVW286" s="208"/>
      <c r="PVX286" s="208"/>
      <c r="PVY286" s="208"/>
      <c r="PVZ286" s="208"/>
      <c r="PWA286" s="208"/>
      <c r="PWB286" s="208"/>
      <c r="PWC286" s="208"/>
      <c r="PWD286" s="208"/>
      <c r="PWE286" s="208"/>
      <c r="PWF286" s="208"/>
      <c r="PWG286" s="208"/>
      <c r="PWH286" s="208"/>
      <c r="PWI286" s="208"/>
      <c r="PWJ286" s="208"/>
      <c r="PWK286" s="208"/>
      <c r="PWL286" s="208"/>
      <c r="PWM286" s="208"/>
      <c r="PWN286" s="208"/>
      <c r="PWO286" s="208"/>
      <c r="PWP286" s="208"/>
      <c r="PWQ286" s="208"/>
      <c r="PWR286" s="208"/>
      <c r="PWS286" s="208"/>
      <c r="PWT286" s="208"/>
      <c r="PWU286" s="208"/>
      <c r="PWV286" s="208"/>
      <c r="PWW286" s="208"/>
      <c r="PWX286" s="208"/>
      <c r="PWY286" s="208"/>
      <c r="PWZ286" s="208"/>
      <c r="PXA286" s="208"/>
      <c r="PXB286" s="208"/>
      <c r="PXC286" s="208"/>
      <c r="PXD286" s="208"/>
      <c r="PXE286" s="208"/>
      <c r="PXF286" s="208"/>
      <c r="PXG286" s="208"/>
      <c r="PXH286" s="208"/>
      <c r="PXI286" s="208"/>
      <c r="PXJ286" s="208"/>
      <c r="PXK286" s="208"/>
      <c r="PXL286" s="208"/>
      <c r="PXM286" s="208"/>
      <c r="PXN286" s="208"/>
      <c r="PXO286" s="208"/>
      <c r="PXP286" s="208"/>
      <c r="PXQ286" s="208"/>
      <c r="PXR286" s="208"/>
      <c r="PXS286" s="208"/>
      <c r="PXT286" s="208"/>
      <c r="PXU286" s="208"/>
      <c r="PXV286" s="208"/>
      <c r="PXW286" s="208"/>
      <c r="PXX286" s="208"/>
      <c r="PXY286" s="208"/>
      <c r="PXZ286" s="208"/>
      <c r="PYA286" s="208"/>
      <c r="PYB286" s="208"/>
      <c r="PYC286" s="208"/>
      <c r="PYD286" s="208"/>
      <c r="PYE286" s="208"/>
      <c r="PYF286" s="208"/>
      <c r="PYG286" s="208"/>
      <c r="PYH286" s="208"/>
      <c r="PYI286" s="208"/>
      <c r="PYJ286" s="208"/>
      <c r="PYK286" s="208"/>
      <c r="PYL286" s="208"/>
      <c r="PYM286" s="208"/>
      <c r="PYN286" s="208"/>
      <c r="PYO286" s="208"/>
      <c r="PYP286" s="208"/>
      <c r="PYQ286" s="208"/>
      <c r="PYR286" s="208"/>
      <c r="PYS286" s="208"/>
      <c r="PYT286" s="208"/>
      <c r="PYU286" s="208"/>
      <c r="PYV286" s="208"/>
      <c r="PYW286" s="208"/>
      <c r="PYX286" s="208"/>
      <c r="PYY286" s="208"/>
      <c r="PYZ286" s="208"/>
      <c r="PZA286" s="208"/>
      <c r="PZB286" s="208"/>
      <c r="PZC286" s="208"/>
      <c r="PZD286" s="208"/>
      <c r="PZE286" s="208"/>
      <c r="PZF286" s="208"/>
      <c r="PZG286" s="208"/>
      <c r="PZH286" s="208"/>
      <c r="PZI286" s="208"/>
      <c r="PZJ286" s="208"/>
      <c r="PZK286" s="208"/>
      <c r="PZL286" s="208"/>
      <c r="PZM286" s="208"/>
      <c r="PZN286" s="208"/>
      <c r="PZO286" s="208"/>
      <c r="PZP286" s="208"/>
      <c r="PZQ286" s="208"/>
      <c r="PZR286" s="208"/>
      <c r="PZS286" s="208"/>
      <c r="PZT286" s="208"/>
      <c r="PZU286" s="208"/>
      <c r="PZV286" s="208"/>
      <c r="PZW286" s="208"/>
      <c r="PZX286" s="208"/>
      <c r="PZY286" s="208"/>
      <c r="PZZ286" s="208"/>
      <c r="QAA286" s="208"/>
      <c r="QAB286" s="208"/>
      <c r="QAC286" s="208"/>
      <c r="QAD286" s="208"/>
      <c r="QAE286" s="208"/>
      <c r="QAF286" s="208"/>
      <c r="QAG286" s="208"/>
      <c r="QAH286" s="208"/>
      <c r="QAI286" s="208"/>
      <c r="QAJ286" s="208"/>
      <c r="QAK286" s="208"/>
      <c r="QAL286" s="208"/>
      <c r="QAM286" s="208"/>
      <c r="QAN286" s="208"/>
      <c r="QAO286" s="208"/>
      <c r="QAP286" s="208"/>
      <c r="QAQ286" s="208"/>
      <c r="QAR286" s="208"/>
      <c r="QAS286" s="208"/>
      <c r="QAT286" s="208"/>
      <c r="QAU286" s="208"/>
      <c r="QAV286" s="208"/>
      <c r="QAW286" s="208"/>
      <c r="QAX286" s="208"/>
      <c r="QAY286" s="208"/>
      <c r="QAZ286" s="208"/>
      <c r="QBA286" s="208"/>
      <c r="QBB286" s="208"/>
      <c r="QBC286" s="208"/>
      <c r="QBD286" s="208"/>
      <c r="QBE286" s="208"/>
      <c r="QBF286" s="208"/>
      <c r="QBG286" s="208"/>
      <c r="QBH286" s="208"/>
      <c r="QBI286" s="208"/>
      <c r="QBJ286" s="208"/>
      <c r="QBK286" s="208"/>
      <c r="QBL286" s="208"/>
      <c r="QBM286" s="208"/>
      <c r="QBN286" s="208"/>
      <c r="QBO286" s="208"/>
      <c r="QBP286" s="208"/>
      <c r="QBQ286" s="208"/>
      <c r="QBR286" s="208"/>
      <c r="QBS286" s="208"/>
      <c r="QBT286" s="208"/>
      <c r="QBU286" s="208"/>
      <c r="QBV286" s="208"/>
      <c r="QBW286" s="208"/>
      <c r="QBX286" s="208"/>
      <c r="QBY286" s="208"/>
      <c r="QBZ286" s="208"/>
      <c r="QCA286" s="208"/>
      <c r="QCB286" s="208"/>
      <c r="QCC286" s="208"/>
      <c r="QCD286" s="208"/>
      <c r="QCE286" s="208"/>
      <c r="QCF286" s="208"/>
      <c r="QCG286" s="208"/>
      <c r="QCH286" s="208"/>
      <c r="QCI286" s="208"/>
      <c r="QCJ286" s="208"/>
      <c r="QCK286" s="208"/>
      <c r="QCL286" s="208"/>
      <c r="QCM286" s="208"/>
      <c r="QCN286" s="208"/>
      <c r="QCO286" s="208"/>
      <c r="QCP286" s="208"/>
      <c r="QCQ286" s="208"/>
      <c r="QCR286" s="208"/>
      <c r="QCS286" s="208"/>
      <c r="QCT286" s="208"/>
      <c r="QCU286" s="208"/>
      <c r="QCV286" s="208"/>
      <c r="QCW286" s="208"/>
      <c r="QCX286" s="208"/>
      <c r="QCY286" s="208"/>
      <c r="QCZ286" s="208"/>
      <c r="QDA286" s="208"/>
      <c r="QDB286" s="208"/>
      <c r="QDC286" s="208"/>
      <c r="QDD286" s="208"/>
      <c r="QDE286" s="208"/>
      <c r="QDF286" s="208"/>
      <c r="QDG286" s="208"/>
      <c r="QDH286" s="208"/>
      <c r="QDI286" s="208"/>
      <c r="QDJ286" s="208"/>
      <c r="QDK286" s="208"/>
      <c r="QDL286" s="208"/>
      <c r="QDM286" s="208"/>
      <c r="QDN286" s="208"/>
      <c r="QDO286" s="208"/>
      <c r="QDP286" s="208"/>
      <c r="QDQ286" s="208"/>
      <c r="QDR286" s="208"/>
      <c r="QDS286" s="208"/>
      <c r="QDT286" s="208"/>
      <c r="QDU286" s="208"/>
      <c r="QDV286" s="208"/>
      <c r="QDW286" s="208"/>
      <c r="QDX286" s="208"/>
      <c r="QDY286" s="208"/>
      <c r="QDZ286" s="208"/>
      <c r="QEA286" s="208"/>
      <c r="QEB286" s="208"/>
      <c r="QEC286" s="208"/>
      <c r="QED286" s="208"/>
      <c r="QEE286" s="208"/>
      <c r="QEF286" s="208"/>
      <c r="QEG286" s="208"/>
      <c r="QEH286" s="208"/>
      <c r="QEI286" s="208"/>
      <c r="QEJ286" s="208"/>
      <c r="QEK286" s="208"/>
      <c r="QEL286" s="208"/>
      <c r="QEM286" s="208"/>
      <c r="QEN286" s="208"/>
      <c r="QEO286" s="208"/>
      <c r="QEP286" s="208"/>
      <c r="QEQ286" s="208"/>
      <c r="QER286" s="208"/>
      <c r="QES286" s="208"/>
      <c r="QET286" s="208"/>
      <c r="QEU286" s="208"/>
      <c r="QEV286" s="208"/>
      <c r="QEW286" s="208"/>
      <c r="QEX286" s="208"/>
      <c r="QEY286" s="208"/>
      <c r="QEZ286" s="208"/>
      <c r="QFA286" s="208"/>
      <c r="QFB286" s="208"/>
      <c r="QFC286" s="208"/>
      <c r="QFD286" s="208"/>
      <c r="QFE286" s="208"/>
      <c r="QFF286" s="208"/>
      <c r="QFG286" s="208"/>
      <c r="QFH286" s="208"/>
      <c r="QFI286" s="208"/>
      <c r="QFJ286" s="208"/>
      <c r="QFK286" s="208"/>
      <c r="QFL286" s="208"/>
      <c r="QFM286" s="208"/>
      <c r="QFN286" s="208"/>
      <c r="QFO286" s="208"/>
      <c r="QFP286" s="208"/>
      <c r="QFQ286" s="208"/>
      <c r="QFR286" s="208"/>
      <c r="QFS286" s="208"/>
      <c r="QFT286" s="208"/>
      <c r="QFU286" s="208"/>
      <c r="QFV286" s="208"/>
      <c r="QFW286" s="208"/>
      <c r="QFX286" s="208"/>
      <c r="QFY286" s="208"/>
      <c r="QFZ286" s="208"/>
      <c r="QGA286" s="208"/>
      <c r="QGB286" s="208"/>
      <c r="QGC286" s="208"/>
      <c r="QGD286" s="208"/>
      <c r="QGE286" s="208"/>
      <c r="QGF286" s="208"/>
      <c r="QGG286" s="208"/>
      <c r="QGH286" s="208"/>
      <c r="QGI286" s="208"/>
      <c r="QGJ286" s="208"/>
      <c r="QGK286" s="208"/>
      <c r="QGL286" s="208"/>
      <c r="QGM286" s="208"/>
      <c r="QGN286" s="208"/>
      <c r="QGO286" s="208"/>
      <c r="QGP286" s="208"/>
      <c r="QGQ286" s="208"/>
      <c r="QGR286" s="208"/>
      <c r="QGS286" s="208"/>
      <c r="QGT286" s="208"/>
      <c r="QGU286" s="208"/>
      <c r="QGV286" s="208"/>
      <c r="QGW286" s="208"/>
      <c r="QGX286" s="208"/>
      <c r="QGY286" s="208"/>
      <c r="QGZ286" s="208"/>
      <c r="QHA286" s="208"/>
      <c r="QHB286" s="208"/>
      <c r="QHC286" s="208"/>
      <c r="QHD286" s="208"/>
      <c r="QHE286" s="208"/>
      <c r="QHF286" s="208"/>
      <c r="QHG286" s="208"/>
      <c r="QHH286" s="208"/>
      <c r="QHI286" s="208"/>
      <c r="QHJ286" s="208"/>
      <c r="QHK286" s="208"/>
      <c r="QHL286" s="208"/>
      <c r="QHM286" s="208"/>
      <c r="QHN286" s="208"/>
      <c r="QHO286" s="208"/>
      <c r="QHP286" s="208"/>
      <c r="QHQ286" s="208"/>
      <c r="QHR286" s="208"/>
      <c r="QHS286" s="208"/>
      <c r="QHT286" s="208"/>
      <c r="QHU286" s="208"/>
      <c r="QHV286" s="208"/>
      <c r="QHW286" s="208"/>
      <c r="QHX286" s="208"/>
      <c r="QHY286" s="208"/>
      <c r="QHZ286" s="208"/>
      <c r="QIA286" s="208"/>
      <c r="QIB286" s="208"/>
      <c r="QIC286" s="208"/>
      <c r="QID286" s="208"/>
      <c r="QIE286" s="208"/>
      <c r="QIF286" s="208"/>
      <c r="QIG286" s="208"/>
      <c r="QIH286" s="208"/>
      <c r="QII286" s="208"/>
      <c r="QIJ286" s="208"/>
      <c r="QIK286" s="208"/>
      <c r="QIL286" s="208"/>
      <c r="QIM286" s="208"/>
      <c r="QIN286" s="208"/>
      <c r="QIO286" s="208"/>
      <c r="QIP286" s="208"/>
      <c r="QIQ286" s="208"/>
      <c r="QIR286" s="208"/>
      <c r="QIS286" s="208"/>
      <c r="QIT286" s="208"/>
      <c r="QIU286" s="208"/>
      <c r="QIV286" s="208"/>
      <c r="QIW286" s="208"/>
      <c r="QIX286" s="208"/>
      <c r="QIY286" s="208"/>
      <c r="QIZ286" s="208"/>
      <c r="QJA286" s="208"/>
      <c r="QJB286" s="208"/>
      <c r="QJC286" s="208"/>
      <c r="QJD286" s="208"/>
      <c r="QJE286" s="208"/>
      <c r="QJF286" s="208"/>
      <c r="QJG286" s="208"/>
      <c r="QJH286" s="208"/>
      <c r="QJI286" s="208"/>
      <c r="QJJ286" s="208"/>
      <c r="QJK286" s="208"/>
      <c r="QJL286" s="208"/>
      <c r="QJM286" s="208"/>
      <c r="QJN286" s="208"/>
      <c r="QJO286" s="208"/>
      <c r="QJP286" s="208"/>
      <c r="QJQ286" s="208"/>
      <c r="QJR286" s="208"/>
      <c r="QJS286" s="208"/>
      <c r="QJT286" s="208"/>
      <c r="QJU286" s="208"/>
      <c r="QJV286" s="208"/>
      <c r="QJW286" s="208"/>
      <c r="QJX286" s="208"/>
      <c r="QJY286" s="208"/>
      <c r="QJZ286" s="208"/>
      <c r="QKA286" s="208"/>
      <c r="QKB286" s="208"/>
      <c r="QKC286" s="208"/>
      <c r="QKD286" s="208"/>
      <c r="QKE286" s="208"/>
      <c r="QKF286" s="208"/>
      <c r="QKG286" s="208"/>
      <c r="QKH286" s="208"/>
      <c r="QKI286" s="208"/>
      <c r="QKJ286" s="208"/>
      <c r="QKK286" s="208"/>
      <c r="QKL286" s="208"/>
      <c r="QKM286" s="208"/>
      <c r="QKN286" s="208"/>
      <c r="QKO286" s="208"/>
      <c r="QKP286" s="208"/>
      <c r="QKQ286" s="208"/>
      <c r="QKR286" s="208"/>
      <c r="QKS286" s="208"/>
      <c r="QKT286" s="208"/>
      <c r="QKU286" s="208"/>
      <c r="QKV286" s="208"/>
      <c r="QKW286" s="208"/>
      <c r="QKX286" s="208"/>
      <c r="QKY286" s="208"/>
      <c r="QKZ286" s="208"/>
      <c r="QLA286" s="208"/>
      <c r="QLB286" s="208"/>
      <c r="QLC286" s="208"/>
      <c r="QLD286" s="208"/>
      <c r="QLE286" s="208"/>
      <c r="QLF286" s="208"/>
      <c r="QLG286" s="208"/>
      <c r="QLH286" s="208"/>
      <c r="QLI286" s="208"/>
      <c r="QLJ286" s="208"/>
      <c r="QLK286" s="208"/>
      <c r="QLL286" s="208"/>
      <c r="QLM286" s="208"/>
      <c r="QLN286" s="208"/>
      <c r="QLO286" s="208"/>
      <c r="QLP286" s="208"/>
      <c r="QLQ286" s="208"/>
      <c r="QLR286" s="208"/>
      <c r="QLS286" s="208"/>
      <c r="QLT286" s="208"/>
      <c r="QLU286" s="208"/>
      <c r="QLV286" s="208"/>
      <c r="QLW286" s="208"/>
      <c r="QLX286" s="208"/>
      <c r="QLY286" s="208"/>
      <c r="QLZ286" s="208"/>
      <c r="QMA286" s="208"/>
      <c r="QMB286" s="208"/>
      <c r="QMC286" s="208"/>
      <c r="QMD286" s="208"/>
      <c r="QME286" s="208"/>
      <c r="QMF286" s="208"/>
      <c r="QMG286" s="208"/>
      <c r="QMH286" s="208"/>
      <c r="QMI286" s="208"/>
      <c r="QMJ286" s="208"/>
      <c r="QMK286" s="208"/>
      <c r="QML286" s="208"/>
      <c r="QMM286" s="208"/>
      <c r="QMN286" s="208"/>
      <c r="QMO286" s="208"/>
      <c r="QMP286" s="208"/>
      <c r="QMQ286" s="208"/>
      <c r="QMR286" s="208"/>
      <c r="QMS286" s="208"/>
      <c r="QMT286" s="208"/>
      <c r="QMU286" s="208"/>
      <c r="QMV286" s="208"/>
      <c r="QMW286" s="208"/>
      <c r="QMX286" s="208"/>
      <c r="QMY286" s="208"/>
      <c r="QMZ286" s="208"/>
      <c r="QNA286" s="208"/>
      <c r="QNB286" s="208"/>
      <c r="QNC286" s="208"/>
      <c r="QND286" s="208"/>
      <c r="QNE286" s="208"/>
      <c r="QNF286" s="208"/>
      <c r="QNG286" s="208"/>
      <c r="QNH286" s="208"/>
      <c r="QNI286" s="208"/>
      <c r="QNJ286" s="208"/>
      <c r="QNK286" s="208"/>
      <c r="QNL286" s="208"/>
      <c r="QNM286" s="208"/>
      <c r="QNN286" s="208"/>
      <c r="QNO286" s="208"/>
      <c r="QNP286" s="208"/>
      <c r="QNQ286" s="208"/>
      <c r="QNR286" s="208"/>
      <c r="QNS286" s="208"/>
      <c r="QNT286" s="208"/>
      <c r="QNU286" s="208"/>
      <c r="QNV286" s="208"/>
      <c r="QNW286" s="208"/>
      <c r="QNX286" s="208"/>
      <c r="QNY286" s="208"/>
      <c r="QNZ286" s="208"/>
      <c r="QOA286" s="208"/>
      <c r="QOB286" s="208"/>
      <c r="QOC286" s="208"/>
      <c r="QOD286" s="208"/>
      <c r="QOE286" s="208"/>
      <c r="QOF286" s="208"/>
      <c r="QOG286" s="208"/>
      <c r="QOH286" s="208"/>
      <c r="QOI286" s="208"/>
      <c r="QOJ286" s="208"/>
      <c r="QOK286" s="208"/>
      <c r="QOL286" s="208"/>
      <c r="QOM286" s="208"/>
      <c r="QON286" s="208"/>
      <c r="QOO286" s="208"/>
      <c r="QOP286" s="208"/>
      <c r="QOQ286" s="208"/>
      <c r="QOR286" s="208"/>
      <c r="QOS286" s="208"/>
      <c r="QOT286" s="208"/>
      <c r="QOU286" s="208"/>
      <c r="QOV286" s="208"/>
      <c r="QOW286" s="208"/>
      <c r="QOX286" s="208"/>
      <c r="QOY286" s="208"/>
      <c r="QOZ286" s="208"/>
      <c r="QPA286" s="208"/>
      <c r="QPB286" s="208"/>
      <c r="QPC286" s="208"/>
      <c r="QPD286" s="208"/>
      <c r="QPE286" s="208"/>
      <c r="QPF286" s="208"/>
      <c r="QPG286" s="208"/>
      <c r="QPH286" s="208"/>
      <c r="QPI286" s="208"/>
      <c r="QPJ286" s="208"/>
      <c r="QPK286" s="208"/>
      <c r="QPL286" s="208"/>
      <c r="QPM286" s="208"/>
      <c r="QPN286" s="208"/>
      <c r="QPO286" s="208"/>
      <c r="QPP286" s="208"/>
      <c r="QPQ286" s="208"/>
      <c r="QPR286" s="208"/>
      <c r="QPS286" s="208"/>
      <c r="QPT286" s="208"/>
      <c r="QPU286" s="208"/>
      <c r="QPV286" s="208"/>
      <c r="QPW286" s="208"/>
      <c r="QPX286" s="208"/>
      <c r="QPY286" s="208"/>
      <c r="QPZ286" s="208"/>
      <c r="QQA286" s="208"/>
      <c r="QQB286" s="208"/>
      <c r="QQC286" s="208"/>
      <c r="QQD286" s="208"/>
      <c r="QQE286" s="208"/>
      <c r="QQF286" s="208"/>
      <c r="QQG286" s="208"/>
      <c r="QQH286" s="208"/>
      <c r="QQI286" s="208"/>
      <c r="QQJ286" s="208"/>
      <c r="QQK286" s="208"/>
      <c r="QQL286" s="208"/>
      <c r="QQM286" s="208"/>
      <c r="QQN286" s="208"/>
      <c r="QQO286" s="208"/>
      <c r="QQP286" s="208"/>
      <c r="QQQ286" s="208"/>
      <c r="QQR286" s="208"/>
      <c r="QQS286" s="208"/>
      <c r="QQT286" s="208"/>
      <c r="QQU286" s="208"/>
      <c r="QQV286" s="208"/>
      <c r="QQW286" s="208"/>
      <c r="QQX286" s="208"/>
      <c r="QQY286" s="208"/>
      <c r="QQZ286" s="208"/>
      <c r="QRA286" s="208"/>
      <c r="QRB286" s="208"/>
      <c r="QRC286" s="208"/>
      <c r="QRD286" s="208"/>
      <c r="QRE286" s="208"/>
      <c r="QRF286" s="208"/>
      <c r="QRG286" s="208"/>
      <c r="QRH286" s="208"/>
      <c r="QRI286" s="208"/>
      <c r="QRJ286" s="208"/>
      <c r="QRK286" s="208"/>
      <c r="QRL286" s="208"/>
      <c r="QRM286" s="208"/>
      <c r="QRN286" s="208"/>
      <c r="QRO286" s="208"/>
      <c r="QRP286" s="208"/>
      <c r="QRQ286" s="208"/>
      <c r="QRR286" s="208"/>
      <c r="QRS286" s="208"/>
      <c r="QRT286" s="208"/>
      <c r="QRU286" s="208"/>
      <c r="QRV286" s="208"/>
      <c r="QRW286" s="208"/>
      <c r="QRX286" s="208"/>
      <c r="QRY286" s="208"/>
      <c r="QRZ286" s="208"/>
      <c r="QSA286" s="208"/>
      <c r="QSB286" s="208"/>
      <c r="QSC286" s="208"/>
      <c r="QSD286" s="208"/>
      <c r="QSE286" s="208"/>
      <c r="QSF286" s="208"/>
      <c r="QSG286" s="208"/>
      <c r="QSH286" s="208"/>
      <c r="QSI286" s="208"/>
      <c r="QSJ286" s="208"/>
      <c r="QSK286" s="208"/>
      <c r="QSL286" s="208"/>
      <c r="QSM286" s="208"/>
      <c r="QSN286" s="208"/>
      <c r="QSO286" s="208"/>
      <c r="QSP286" s="208"/>
      <c r="QSQ286" s="208"/>
      <c r="QSR286" s="208"/>
      <c r="QSS286" s="208"/>
      <c r="QST286" s="208"/>
      <c r="QSU286" s="208"/>
      <c r="QSV286" s="208"/>
      <c r="QSW286" s="208"/>
      <c r="QSX286" s="208"/>
      <c r="QSY286" s="208"/>
      <c r="QSZ286" s="208"/>
      <c r="QTA286" s="208"/>
      <c r="QTB286" s="208"/>
      <c r="QTC286" s="208"/>
      <c r="QTD286" s="208"/>
      <c r="QTE286" s="208"/>
      <c r="QTF286" s="208"/>
      <c r="QTG286" s="208"/>
      <c r="QTH286" s="208"/>
      <c r="QTI286" s="208"/>
      <c r="QTJ286" s="208"/>
      <c r="QTK286" s="208"/>
      <c r="QTL286" s="208"/>
      <c r="QTM286" s="208"/>
      <c r="QTN286" s="208"/>
      <c r="QTO286" s="208"/>
      <c r="QTP286" s="208"/>
      <c r="QTQ286" s="208"/>
      <c r="QTR286" s="208"/>
      <c r="QTS286" s="208"/>
      <c r="QTT286" s="208"/>
      <c r="QTU286" s="208"/>
      <c r="QTV286" s="208"/>
      <c r="QTW286" s="208"/>
      <c r="QTX286" s="208"/>
      <c r="QTY286" s="208"/>
      <c r="QTZ286" s="208"/>
      <c r="QUA286" s="208"/>
      <c r="QUB286" s="208"/>
      <c r="QUC286" s="208"/>
      <c r="QUD286" s="208"/>
      <c r="QUE286" s="208"/>
      <c r="QUF286" s="208"/>
      <c r="QUG286" s="208"/>
      <c r="QUH286" s="208"/>
      <c r="QUI286" s="208"/>
      <c r="QUJ286" s="208"/>
      <c r="QUK286" s="208"/>
      <c r="QUL286" s="208"/>
      <c r="QUM286" s="208"/>
      <c r="QUN286" s="208"/>
      <c r="QUO286" s="208"/>
      <c r="QUP286" s="208"/>
      <c r="QUQ286" s="208"/>
      <c r="QUR286" s="208"/>
      <c r="QUS286" s="208"/>
      <c r="QUT286" s="208"/>
      <c r="QUU286" s="208"/>
      <c r="QUV286" s="208"/>
      <c r="QUW286" s="208"/>
      <c r="QUX286" s="208"/>
      <c r="QUY286" s="208"/>
      <c r="QUZ286" s="208"/>
      <c r="QVA286" s="208"/>
      <c r="QVB286" s="208"/>
      <c r="QVC286" s="208"/>
      <c r="QVD286" s="208"/>
      <c r="QVE286" s="208"/>
      <c r="QVF286" s="208"/>
      <c r="QVG286" s="208"/>
      <c r="QVH286" s="208"/>
      <c r="QVI286" s="208"/>
      <c r="QVJ286" s="208"/>
      <c r="QVK286" s="208"/>
      <c r="QVL286" s="208"/>
      <c r="QVM286" s="208"/>
      <c r="QVN286" s="208"/>
      <c r="QVO286" s="208"/>
      <c r="QVP286" s="208"/>
      <c r="QVQ286" s="208"/>
      <c r="QVR286" s="208"/>
      <c r="QVS286" s="208"/>
      <c r="QVT286" s="208"/>
      <c r="QVU286" s="208"/>
      <c r="QVV286" s="208"/>
      <c r="QVW286" s="208"/>
      <c r="QVX286" s="208"/>
      <c r="QVY286" s="208"/>
      <c r="QVZ286" s="208"/>
      <c r="QWA286" s="208"/>
      <c r="QWB286" s="208"/>
      <c r="QWC286" s="208"/>
      <c r="QWD286" s="208"/>
      <c r="QWE286" s="208"/>
      <c r="QWF286" s="208"/>
      <c r="QWG286" s="208"/>
      <c r="QWH286" s="208"/>
      <c r="QWI286" s="208"/>
      <c r="QWJ286" s="208"/>
      <c r="QWK286" s="208"/>
      <c r="QWL286" s="208"/>
      <c r="QWM286" s="208"/>
      <c r="QWN286" s="208"/>
      <c r="QWO286" s="208"/>
      <c r="QWP286" s="208"/>
      <c r="QWQ286" s="208"/>
      <c r="QWR286" s="208"/>
      <c r="QWS286" s="208"/>
      <c r="QWT286" s="208"/>
      <c r="QWU286" s="208"/>
      <c r="QWV286" s="208"/>
      <c r="QWW286" s="208"/>
      <c r="QWX286" s="208"/>
      <c r="QWY286" s="208"/>
      <c r="QWZ286" s="208"/>
      <c r="QXA286" s="208"/>
      <c r="QXB286" s="208"/>
      <c r="QXC286" s="208"/>
      <c r="QXD286" s="208"/>
      <c r="QXE286" s="208"/>
      <c r="QXF286" s="208"/>
      <c r="QXG286" s="208"/>
      <c r="QXH286" s="208"/>
      <c r="QXI286" s="208"/>
      <c r="QXJ286" s="208"/>
      <c r="QXK286" s="208"/>
      <c r="QXL286" s="208"/>
      <c r="QXM286" s="208"/>
      <c r="QXN286" s="208"/>
      <c r="QXO286" s="208"/>
      <c r="QXP286" s="208"/>
      <c r="QXQ286" s="208"/>
      <c r="QXR286" s="208"/>
      <c r="QXS286" s="208"/>
      <c r="QXT286" s="208"/>
      <c r="QXU286" s="208"/>
      <c r="QXV286" s="208"/>
      <c r="QXW286" s="208"/>
      <c r="QXX286" s="208"/>
      <c r="QXY286" s="208"/>
      <c r="QXZ286" s="208"/>
      <c r="QYA286" s="208"/>
      <c r="QYB286" s="208"/>
      <c r="QYC286" s="208"/>
      <c r="QYD286" s="208"/>
      <c r="QYE286" s="208"/>
      <c r="QYF286" s="208"/>
      <c r="QYG286" s="208"/>
      <c r="QYH286" s="208"/>
      <c r="QYI286" s="208"/>
      <c r="QYJ286" s="208"/>
      <c r="QYK286" s="208"/>
      <c r="QYL286" s="208"/>
      <c r="QYM286" s="208"/>
      <c r="QYN286" s="208"/>
      <c r="QYO286" s="208"/>
      <c r="QYP286" s="208"/>
      <c r="QYQ286" s="208"/>
      <c r="QYR286" s="208"/>
      <c r="QYS286" s="208"/>
      <c r="QYT286" s="208"/>
      <c r="QYU286" s="208"/>
      <c r="QYV286" s="208"/>
      <c r="QYW286" s="208"/>
      <c r="QYX286" s="208"/>
      <c r="QYY286" s="208"/>
      <c r="QYZ286" s="208"/>
      <c r="QZA286" s="208"/>
      <c r="QZB286" s="208"/>
      <c r="QZC286" s="208"/>
      <c r="QZD286" s="208"/>
      <c r="QZE286" s="208"/>
      <c r="QZF286" s="208"/>
      <c r="QZG286" s="208"/>
      <c r="QZH286" s="208"/>
      <c r="QZI286" s="208"/>
      <c r="QZJ286" s="208"/>
      <c r="QZK286" s="208"/>
      <c r="QZL286" s="208"/>
      <c r="QZM286" s="208"/>
      <c r="QZN286" s="208"/>
      <c r="QZO286" s="208"/>
      <c r="QZP286" s="208"/>
      <c r="QZQ286" s="208"/>
      <c r="QZR286" s="208"/>
      <c r="QZS286" s="208"/>
      <c r="QZT286" s="208"/>
      <c r="QZU286" s="208"/>
      <c r="QZV286" s="208"/>
      <c r="QZW286" s="208"/>
      <c r="QZX286" s="208"/>
      <c r="QZY286" s="208"/>
      <c r="QZZ286" s="208"/>
      <c r="RAA286" s="208"/>
      <c r="RAB286" s="208"/>
      <c r="RAC286" s="208"/>
      <c r="RAD286" s="208"/>
      <c r="RAE286" s="208"/>
      <c r="RAF286" s="208"/>
      <c r="RAG286" s="208"/>
      <c r="RAH286" s="208"/>
      <c r="RAI286" s="208"/>
      <c r="RAJ286" s="208"/>
      <c r="RAK286" s="208"/>
      <c r="RAL286" s="208"/>
      <c r="RAM286" s="208"/>
      <c r="RAN286" s="208"/>
      <c r="RAO286" s="208"/>
      <c r="RAP286" s="208"/>
      <c r="RAQ286" s="208"/>
      <c r="RAR286" s="208"/>
      <c r="RAS286" s="208"/>
      <c r="RAT286" s="208"/>
      <c r="RAU286" s="208"/>
      <c r="RAV286" s="208"/>
      <c r="RAW286" s="208"/>
      <c r="RAX286" s="208"/>
      <c r="RAY286" s="208"/>
      <c r="RAZ286" s="208"/>
      <c r="RBA286" s="208"/>
      <c r="RBB286" s="208"/>
      <c r="RBC286" s="208"/>
      <c r="RBD286" s="208"/>
      <c r="RBE286" s="208"/>
      <c r="RBF286" s="208"/>
      <c r="RBG286" s="208"/>
      <c r="RBH286" s="208"/>
      <c r="RBI286" s="208"/>
      <c r="RBJ286" s="208"/>
      <c r="RBK286" s="208"/>
      <c r="RBL286" s="208"/>
      <c r="RBM286" s="208"/>
      <c r="RBN286" s="208"/>
      <c r="RBO286" s="208"/>
      <c r="RBP286" s="208"/>
      <c r="RBQ286" s="208"/>
      <c r="RBR286" s="208"/>
      <c r="RBS286" s="208"/>
      <c r="RBT286" s="208"/>
      <c r="RBU286" s="208"/>
      <c r="RBV286" s="208"/>
      <c r="RBW286" s="208"/>
      <c r="RBX286" s="208"/>
      <c r="RBY286" s="208"/>
      <c r="RBZ286" s="208"/>
      <c r="RCA286" s="208"/>
      <c r="RCB286" s="208"/>
      <c r="RCC286" s="208"/>
      <c r="RCD286" s="208"/>
      <c r="RCE286" s="208"/>
      <c r="RCF286" s="208"/>
      <c r="RCG286" s="208"/>
      <c r="RCH286" s="208"/>
      <c r="RCI286" s="208"/>
      <c r="RCJ286" s="208"/>
      <c r="RCK286" s="208"/>
      <c r="RCL286" s="208"/>
      <c r="RCM286" s="208"/>
      <c r="RCN286" s="208"/>
      <c r="RCO286" s="208"/>
      <c r="RCP286" s="208"/>
      <c r="RCQ286" s="208"/>
      <c r="RCR286" s="208"/>
      <c r="RCS286" s="208"/>
      <c r="RCT286" s="208"/>
      <c r="RCU286" s="208"/>
      <c r="RCV286" s="208"/>
      <c r="RCW286" s="208"/>
      <c r="RCX286" s="208"/>
      <c r="RCY286" s="208"/>
      <c r="RCZ286" s="208"/>
      <c r="RDA286" s="208"/>
      <c r="RDB286" s="208"/>
      <c r="RDC286" s="208"/>
      <c r="RDD286" s="208"/>
      <c r="RDE286" s="208"/>
      <c r="RDF286" s="208"/>
      <c r="RDG286" s="208"/>
      <c r="RDH286" s="208"/>
      <c r="RDI286" s="208"/>
      <c r="RDJ286" s="208"/>
      <c r="RDK286" s="208"/>
      <c r="RDL286" s="208"/>
      <c r="RDM286" s="208"/>
      <c r="RDN286" s="208"/>
      <c r="RDO286" s="208"/>
      <c r="RDP286" s="208"/>
      <c r="RDQ286" s="208"/>
      <c r="RDR286" s="208"/>
      <c r="RDS286" s="208"/>
      <c r="RDT286" s="208"/>
      <c r="RDU286" s="208"/>
      <c r="RDV286" s="208"/>
      <c r="RDW286" s="208"/>
      <c r="RDX286" s="208"/>
      <c r="RDY286" s="208"/>
      <c r="RDZ286" s="208"/>
      <c r="REA286" s="208"/>
      <c r="REB286" s="208"/>
      <c r="REC286" s="208"/>
      <c r="RED286" s="208"/>
      <c r="REE286" s="208"/>
      <c r="REF286" s="208"/>
      <c r="REG286" s="208"/>
      <c r="REH286" s="208"/>
      <c r="REI286" s="208"/>
      <c r="REJ286" s="208"/>
      <c r="REK286" s="208"/>
      <c r="REL286" s="208"/>
      <c r="REM286" s="208"/>
      <c r="REN286" s="208"/>
      <c r="REO286" s="208"/>
      <c r="REP286" s="208"/>
      <c r="REQ286" s="208"/>
      <c r="RER286" s="208"/>
      <c r="RES286" s="208"/>
      <c r="RET286" s="208"/>
      <c r="REU286" s="208"/>
      <c r="REV286" s="208"/>
      <c r="REW286" s="208"/>
      <c r="REX286" s="208"/>
      <c r="REY286" s="208"/>
      <c r="REZ286" s="208"/>
      <c r="RFA286" s="208"/>
      <c r="RFB286" s="208"/>
      <c r="RFC286" s="208"/>
      <c r="RFD286" s="208"/>
      <c r="RFE286" s="208"/>
      <c r="RFF286" s="208"/>
      <c r="RFG286" s="208"/>
      <c r="RFH286" s="208"/>
      <c r="RFI286" s="208"/>
      <c r="RFJ286" s="208"/>
      <c r="RFK286" s="208"/>
      <c r="RFL286" s="208"/>
      <c r="RFM286" s="208"/>
      <c r="RFN286" s="208"/>
      <c r="RFO286" s="208"/>
      <c r="RFP286" s="208"/>
      <c r="RFQ286" s="208"/>
      <c r="RFR286" s="208"/>
      <c r="RFS286" s="208"/>
      <c r="RFT286" s="208"/>
      <c r="RFU286" s="208"/>
      <c r="RFV286" s="208"/>
      <c r="RFW286" s="208"/>
      <c r="RFX286" s="208"/>
      <c r="RFY286" s="208"/>
      <c r="RFZ286" s="208"/>
      <c r="RGA286" s="208"/>
      <c r="RGB286" s="208"/>
      <c r="RGC286" s="208"/>
      <c r="RGD286" s="208"/>
      <c r="RGE286" s="208"/>
      <c r="RGF286" s="208"/>
      <c r="RGG286" s="208"/>
      <c r="RGH286" s="208"/>
      <c r="RGI286" s="208"/>
      <c r="RGJ286" s="208"/>
      <c r="RGK286" s="208"/>
      <c r="RGL286" s="208"/>
      <c r="RGM286" s="208"/>
      <c r="RGN286" s="208"/>
      <c r="RGO286" s="208"/>
      <c r="RGP286" s="208"/>
      <c r="RGQ286" s="208"/>
      <c r="RGR286" s="208"/>
      <c r="RGS286" s="208"/>
      <c r="RGT286" s="208"/>
      <c r="RGU286" s="208"/>
      <c r="RGV286" s="208"/>
      <c r="RGW286" s="208"/>
      <c r="RGX286" s="208"/>
      <c r="RGY286" s="208"/>
      <c r="RGZ286" s="208"/>
      <c r="RHA286" s="208"/>
      <c r="RHB286" s="208"/>
      <c r="RHC286" s="208"/>
      <c r="RHD286" s="208"/>
      <c r="RHE286" s="208"/>
      <c r="RHF286" s="208"/>
      <c r="RHG286" s="208"/>
      <c r="RHH286" s="208"/>
      <c r="RHI286" s="208"/>
      <c r="RHJ286" s="208"/>
      <c r="RHK286" s="208"/>
      <c r="RHL286" s="208"/>
      <c r="RHM286" s="208"/>
      <c r="RHN286" s="208"/>
      <c r="RHO286" s="208"/>
      <c r="RHP286" s="208"/>
      <c r="RHQ286" s="208"/>
      <c r="RHR286" s="208"/>
      <c r="RHS286" s="208"/>
      <c r="RHT286" s="208"/>
      <c r="RHU286" s="208"/>
      <c r="RHV286" s="208"/>
      <c r="RHW286" s="208"/>
      <c r="RHX286" s="208"/>
      <c r="RHY286" s="208"/>
      <c r="RHZ286" s="208"/>
      <c r="RIA286" s="208"/>
      <c r="RIB286" s="208"/>
      <c r="RIC286" s="208"/>
      <c r="RID286" s="208"/>
      <c r="RIE286" s="208"/>
      <c r="RIF286" s="208"/>
      <c r="RIG286" s="208"/>
      <c r="RIH286" s="208"/>
      <c r="RII286" s="208"/>
      <c r="RIJ286" s="208"/>
      <c r="RIK286" s="208"/>
      <c r="RIL286" s="208"/>
      <c r="RIM286" s="208"/>
      <c r="RIN286" s="208"/>
      <c r="RIO286" s="208"/>
      <c r="RIP286" s="208"/>
      <c r="RIQ286" s="208"/>
      <c r="RIR286" s="208"/>
      <c r="RIS286" s="208"/>
      <c r="RIT286" s="208"/>
      <c r="RIU286" s="208"/>
      <c r="RIV286" s="208"/>
      <c r="RIW286" s="208"/>
      <c r="RIX286" s="208"/>
      <c r="RIY286" s="208"/>
      <c r="RIZ286" s="208"/>
      <c r="RJA286" s="208"/>
      <c r="RJB286" s="208"/>
      <c r="RJC286" s="208"/>
      <c r="RJD286" s="208"/>
      <c r="RJE286" s="208"/>
      <c r="RJF286" s="208"/>
      <c r="RJG286" s="208"/>
      <c r="RJH286" s="208"/>
      <c r="RJI286" s="208"/>
      <c r="RJJ286" s="208"/>
      <c r="RJK286" s="208"/>
      <c r="RJL286" s="208"/>
      <c r="RJM286" s="208"/>
      <c r="RJN286" s="208"/>
      <c r="RJO286" s="208"/>
      <c r="RJP286" s="208"/>
      <c r="RJQ286" s="208"/>
      <c r="RJR286" s="208"/>
      <c r="RJS286" s="208"/>
      <c r="RJT286" s="208"/>
      <c r="RJU286" s="208"/>
      <c r="RJV286" s="208"/>
      <c r="RJW286" s="208"/>
      <c r="RJX286" s="208"/>
      <c r="RJY286" s="208"/>
      <c r="RJZ286" s="208"/>
      <c r="RKA286" s="208"/>
      <c r="RKB286" s="208"/>
      <c r="RKC286" s="208"/>
      <c r="RKD286" s="208"/>
      <c r="RKE286" s="208"/>
      <c r="RKF286" s="208"/>
      <c r="RKG286" s="208"/>
      <c r="RKH286" s="208"/>
      <c r="RKI286" s="208"/>
      <c r="RKJ286" s="208"/>
      <c r="RKK286" s="208"/>
      <c r="RKL286" s="208"/>
      <c r="RKM286" s="208"/>
      <c r="RKN286" s="208"/>
      <c r="RKO286" s="208"/>
      <c r="RKP286" s="208"/>
      <c r="RKQ286" s="208"/>
      <c r="RKR286" s="208"/>
      <c r="RKS286" s="208"/>
      <c r="RKT286" s="208"/>
      <c r="RKU286" s="208"/>
      <c r="RKV286" s="208"/>
      <c r="RKW286" s="208"/>
      <c r="RKX286" s="208"/>
      <c r="RKY286" s="208"/>
      <c r="RKZ286" s="208"/>
      <c r="RLA286" s="208"/>
      <c r="RLB286" s="208"/>
      <c r="RLC286" s="208"/>
      <c r="RLD286" s="208"/>
      <c r="RLE286" s="208"/>
      <c r="RLF286" s="208"/>
      <c r="RLG286" s="208"/>
      <c r="RLH286" s="208"/>
      <c r="RLI286" s="208"/>
      <c r="RLJ286" s="208"/>
      <c r="RLK286" s="208"/>
      <c r="RLL286" s="208"/>
      <c r="RLM286" s="208"/>
      <c r="RLN286" s="208"/>
      <c r="RLO286" s="208"/>
      <c r="RLP286" s="208"/>
      <c r="RLQ286" s="208"/>
      <c r="RLR286" s="208"/>
      <c r="RLS286" s="208"/>
      <c r="RLT286" s="208"/>
      <c r="RLU286" s="208"/>
      <c r="RLV286" s="208"/>
      <c r="RLW286" s="208"/>
      <c r="RLX286" s="208"/>
      <c r="RLY286" s="208"/>
      <c r="RLZ286" s="208"/>
      <c r="RMA286" s="208"/>
      <c r="RMB286" s="208"/>
      <c r="RMC286" s="208"/>
      <c r="RMD286" s="208"/>
      <c r="RME286" s="208"/>
      <c r="RMF286" s="208"/>
      <c r="RMG286" s="208"/>
      <c r="RMH286" s="208"/>
      <c r="RMI286" s="208"/>
      <c r="RMJ286" s="208"/>
      <c r="RMK286" s="208"/>
      <c r="RML286" s="208"/>
      <c r="RMM286" s="208"/>
      <c r="RMN286" s="208"/>
      <c r="RMO286" s="208"/>
      <c r="RMP286" s="208"/>
      <c r="RMQ286" s="208"/>
      <c r="RMR286" s="208"/>
      <c r="RMS286" s="208"/>
      <c r="RMT286" s="208"/>
      <c r="RMU286" s="208"/>
      <c r="RMV286" s="208"/>
      <c r="RMW286" s="208"/>
      <c r="RMX286" s="208"/>
      <c r="RMY286" s="208"/>
      <c r="RMZ286" s="208"/>
      <c r="RNA286" s="208"/>
      <c r="RNB286" s="208"/>
      <c r="RNC286" s="208"/>
      <c r="RND286" s="208"/>
      <c r="RNE286" s="208"/>
      <c r="RNF286" s="208"/>
      <c r="RNG286" s="208"/>
      <c r="RNH286" s="208"/>
      <c r="RNI286" s="208"/>
      <c r="RNJ286" s="208"/>
      <c r="RNK286" s="208"/>
      <c r="RNL286" s="208"/>
      <c r="RNM286" s="208"/>
      <c r="RNN286" s="208"/>
      <c r="RNO286" s="208"/>
      <c r="RNP286" s="208"/>
      <c r="RNQ286" s="208"/>
      <c r="RNR286" s="208"/>
      <c r="RNS286" s="208"/>
      <c r="RNT286" s="208"/>
      <c r="RNU286" s="208"/>
      <c r="RNV286" s="208"/>
      <c r="RNW286" s="208"/>
      <c r="RNX286" s="208"/>
      <c r="RNY286" s="208"/>
      <c r="RNZ286" s="208"/>
      <c r="ROA286" s="208"/>
      <c r="ROB286" s="208"/>
      <c r="ROC286" s="208"/>
      <c r="ROD286" s="208"/>
      <c r="ROE286" s="208"/>
      <c r="ROF286" s="208"/>
      <c r="ROG286" s="208"/>
      <c r="ROH286" s="208"/>
      <c r="ROI286" s="208"/>
      <c r="ROJ286" s="208"/>
      <c r="ROK286" s="208"/>
      <c r="ROL286" s="208"/>
      <c r="ROM286" s="208"/>
      <c r="RON286" s="208"/>
      <c r="ROO286" s="208"/>
      <c r="ROP286" s="208"/>
      <c r="ROQ286" s="208"/>
      <c r="ROR286" s="208"/>
      <c r="ROS286" s="208"/>
      <c r="ROT286" s="208"/>
      <c r="ROU286" s="208"/>
      <c r="ROV286" s="208"/>
      <c r="ROW286" s="208"/>
      <c r="ROX286" s="208"/>
      <c r="ROY286" s="208"/>
      <c r="ROZ286" s="208"/>
      <c r="RPA286" s="208"/>
      <c r="RPB286" s="208"/>
      <c r="RPC286" s="208"/>
      <c r="RPD286" s="208"/>
      <c r="RPE286" s="208"/>
      <c r="RPF286" s="208"/>
      <c r="RPG286" s="208"/>
      <c r="RPH286" s="208"/>
      <c r="RPI286" s="208"/>
      <c r="RPJ286" s="208"/>
      <c r="RPK286" s="208"/>
      <c r="RPL286" s="208"/>
      <c r="RPM286" s="208"/>
      <c r="RPN286" s="208"/>
      <c r="RPO286" s="208"/>
      <c r="RPP286" s="208"/>
      <c r="RPQ286" s="208"/>
      <c r="RPR286" s="208"/>
      <c r="RPS286" s="208"/>
      <c r="RPT286" s="208"/>
      <c r="RPU286" s="208"/>
      <c r="RPV286" s="208"/>
      <c r="RPW286" s="208"/>
      <c r="RPX286" s="208"/>
      <c r="RPY286" s="208"/>
      <c r="RPZ286" s="208"/>
      <c r="RQA286" s="208"/>
      <c r="RQB286" s="208"/>
      <c r="RQC286" s="208"/>
      <c r="RQD286" s="208"/>
      <c r="RQE286" s="208"/>
      <c r="RQF286" s="208"/>
      <c r="RQG286" s="208"/>
      <c r="RQH286" s="208"/>
      <c r="RQI286" s="208"/>
      <c r="RQJ286" s="208"/>
      <c r="RQK286" s="208"/>
      <c r="RQL286" s="208"/>
      <c r="RQM286" s="208"/>
      <c r="RQN286" s="208"/>
      <c r="RQO286" s="208"/>
      <c r="RQP286" s="208"/>
      <c r="RQQ286" s="208"/>
      <c r="RQR286" s="208"/>
      <c r="RQS286" s="208"/>
      <c r="RQT286" s="208"/>
      <c r="RQU286" s="208"/>
      <c r="RQV286" s="208"/>
      <c r="RQW286" s="208"/>
      <c r="RQX286" s="208"/>
      <c r="RQY286" s="208"/>
      <c r="RQZ286" s="208"/>
      <c r="RRA286" s="208"/>
      <c r="RRB286" s="208"/>
      <c r="RRC286" s="208"/>
      <c r="RRD286" s="208"/>
      <c r="RRE286" s="208"/>
      <c r="RRF286" s="208"/>
      <c r="RRG286" s="208"/>
      <c r="RRH286" s="208"/>
      <c r="RRI286" s="208"/>
      <c r="RRJ286" s="208"/>
      <c r="RRK286" s="208"/>
      <c r="RRL286" s="208"/>
      <c r="RRM286" s="208"/>
      <c r="RRN286" s="208"/>
      <c r="RRO286" s="208"/>
      <c r="RRP286" s="208"/>
      <c r="RRQ286" s="208"/>
      <c r="RRR286" s="208"/>
      <c r="RRS286" s="208"/>
      <c r="RRT286" s="208"/>
      <c r="RRU286" s="208"/>
      <c r="RRV286" s="208"/>
      <c r="RRW286" s="208"/>
      <c r="RRX286" s="208"/>
      <c r="RRY286" s="208"/>
      <c r="RRZ286" s="208"/>
      <c r="RSA286" s="208"/>
      <c r="RSB286" s="208"/>
      <c r="RSC286" s="208"/>
      <c r="RSD286" s="208"/>
      <c r="RSE286" s="208"/>
      <c r="RSF286" s="208"/>
      <c r="RSG286" s="208"/>
      <c r="RSH286" s="208"/>
      <c r="RSI286" s="208"/>
      <c r="RSJ286" s="208"/>
      <c r="RSK286" s="208"/>
      <c r="RSL286" s="208"/>
      <c r="RSM286" s="208"/>
      <c r="RSN286" s="208"/>
      <c r="RSO286" s="208"/>
      <c r="RSP286" s="208"/>
      <c r="RSQ286" s="208"/>
      <c r="RSR286" s="208"/>
      <c r="RSS286" s="208"/>
      <c r="RST286" s="208"/>
      <c r="RSU286" s="208"/>
      <c r="RSV286" s="208"/>
      <c r="RSW286" s="208"/>
      <c r="RSX286" s="208"/>
      <c r="RSY286" s="208"/>
      <c r="RSZ286" s="208"/>
      <c r="RTA286" s="208"/>
      <c r="RTB286" s="208"/>
      <c r="RTC286" s="208"/>
      <c r="RTD286" s="208"/>
      <c r="RTE286" s="208"/>
      <c r="RTF286" s="208"/>
      <c r="RTG286" s="208"/>
      <c r="RTH286" s="208"/>
      <c r="RTI286" s="208"/>
      <c r="RTJ286" s="208"/>
      <c r="RTK286" s="208"/>
      <c r="RTL286" s="208"/>
      <c r="RTM286" s="208"/>
      <c r="RTN286" s="208"/>
      <c r="RTO286" s="208"/>
      <c r="RTP286" s="208"/>
      <c r="RTQ286" s="208"/>
      <c r="RTR286" s="208"/>
      <c r="RTS286" s="208"/>
      <c r="RTT286" s="208"/>
      <c r="RTU286" s="208"/>
      <c r="RTV286" s="208"/>
      <c r="RTW286" s="208"/>
      <c r="RTX286" s="208"/>
      <c r="RTY286" s="208"/>
      <c r="RTZ286" s="208"/>
      <c r="RUA286" s="208"/>
      <c r="RUB286" s="208"/>
      <c r="RUC286" s="208"/>
      <c r="RUD286" s="208"/>
      <c r="RUE286" s="208"/>
      <c r="RUF286" s="208"/>
      <c r="RUG286" s="208"/>
      <c r="RUH286" s="208"/>
      <c r="RUI286" s="208"/>
      <c r="RUJ286" s="208"/>
      <c r="RUK286" s="208"/>
      <c r="RUL286" s="208"/>
      <c r="RUM286" s="208"/>
      <c r="RUN286" s="208"/>
      <c r="RUO286" s="208"/>
      <c r="RUP286" s="208"/>
      <c r="RUQ286" s="208"/>
      <c r="RUR286" s="208"/>
      <c r="RUS286" s="208"/>
      <c r="RUT286" s="208"/>
      <c r="RUU286" s="208"/>
      <c r="RUV286" s="208"/>
      <c r="RUW286" s="208"/>
      <c r="RUX286" s="208"/>
      <c r="RUY286" s="208"/>
      <c r="RUZ286" s="208"/>
      <c r="RVA286" s="208"/>
      <c r="RVB286" s="208"/>
      <c r="RVC286" s="208"/>
      <c r="RVD286" s="208"/>
      <c r="RVE286" s="208"/>
      <c r="RVF286" s="208"/>
      <c r="RVG286" s="208"/>
      <c r="RVH286" s="208"/>
      <c r="RVI286" s="208"/>
      <c r="RVJ286" s="208"/>
      <c r="RVK286" s="208"/>
      <c r="RVL286" s="208"/>
      <c r="RVM286" s="208"/>
      <c r="RVN286" s="208"/>
      <c r="RVO286" s="208"/>
      <c r="RVP286" s="208"/>
      <c r="RVQ286" s="208"/>
      <c r="RVR286" s="208"/>
      <c r="RVS286" s="208"/>
      <c r="RVT286" s="208"/>
      <c r="RVU286" s="208"/>
      <c r="RVV286" s="208"/>
      <c r="RVW286" s="208"/>
      <c r="RVX286" s="208"/>
      <c r="RVY286" s="208"/>
      <c r="RVZ286" s="208"/>
      <c r="RWA286" s="208"/>
      <c r="RWB286" s="208"/>
      <c r="RWC286" s="208"/>
      <c r="RWD286" s="208"/>
      <c r="RWE286" s="208"/>
      <c r="RWF286" s="208"/>
      <c r="RWG286" s="208"/>
      <c r="RWH286" s="208"/>
      <c r="RWI286" s="208"/>
      <c r="RWJ286" s="208"/>
      <c r="RWK286" s="208"/>
      <c r="RWL286" s="208"/>
      <c r="RWM286" s="208"/>
      <c r="RWN286" s="208"/>
      <c r="RWO286" s="208"/>
      <c r="RWP286" s="208"/>
      <c r="RWQ286" s="208"/>
      <c r="RWR286" s="208"/>
      <c r="RWS286" s="208"/>
      <c r="RWT286" s="208"/>
      <c r="RWU286" s="208"/>
      <c r="RWV286" s="208"/>
      <c r="RWW286" s="208"/>
      <c r="RWX286" s="208"/>
      <c r="RWY286" s="208"/>
      <c r="RWZ286" s="208"/>
      <c r="RXA286" s="208"/>
      <c r="RXB286" s="208"/>
      <c r="RXC286" s="208"/>
      <c r="RXD286" s="208"/>
      <c r="RXE286" s="208"/>
      <c r="RXF286" s="208"/>
      <c r="RXG286" s="208"/>
      <c r="RXH286" s="208"/>
      <c r="RXI286" s="208"/>
      <c r="RXJ286" s="208"/>
      <c r="RXK286" s="208"/>
      <c r="RXL286" s="208"/>
      <c r="RXM286" s="208"/>
      <c r="RXN286" s="208"/>
      <c r="RXO286" s="208"/>
      <c r="RXP286" s="208"/>
      <c r="RXQ286" s="208"/>
      <c r="RXR286" s="208"/>
      <c r="RXS286" s="208"/>
      <c r="RXT286" s="208"/>
      <c r="RXU286" s="208"/>
      <c r="RXV286" s="208"/>
      <c r="RXW286" s="208"/>
      <c r="RXX286" s="208"/>
      <c r="RXY286" s="208"/>
      <c r="RXZ286" s="208"/>
      <c r="RYA286" s="208"/>
      <c r="RYB286" s="208"/>
      <c r="RYC286" s="208"/>
      <c r="RYD286" s="208"/>
      <c r="RYE286" s="208"/>
      <c r="RYF286" s="208"/>
      <c r="RYG286" s="208"/>
      <c r="RYH286" s="208"/>
      <c r="RYI286" s="208"/>
      <c r="RYJ286" s="208"/>
      <c r="RYK286" s="208"/>
      <c r="RYL286" s="208"/>
      <c r="RYM286" s="208"/>
      <c r="RYN286" s="208"/>
      <c r="RYO286" s="208"/>
      <c r="RYP286" s="208"/>
      <c r="RYQ286" s="208"/>
      <c r="RYR286" s="208"/>
      <c r="RYS286" s="208"/>
      <c r="RYT286" s="208"/>
      <c r="RYU286" s="208"/>
      <c r="RYV286" s="208"/>
      <c r="RYW286" s="208"/>
      <c r="RYX286" s="208"/>
      <c r="RYY286" s="208"/>
      <c r="RYZ286" s="208"/>
      <c r="RZA286" s="208"/>
      <c r="RZB286" s="208"/>
      <c r="RZC286" s="208"/>
      <c r="RZD286" s="208"/>
      <c r="RZE286" s="208"/>
      <c r="RZF286" s="208"/>
      <c r="RZG286" s="208"/>
      <c r="RZH286" s="208"/>
      <c r="RZI286" s="208"/>
      <c r="RZJ286" s="208"/>
      <c r="RZK286" s="208"/>
      <c r="RZL286" s="208"/>
      <c r="RZM286" s="208"/>
      <c r="RZN286" s="208"/>
      <c r="RZO286" s="208"/>
      <c r="RZP286" s="208"/>
      <c r="RZQ286" s="208"/>
      <c r="RZR286" s="208"/>
      <c r="RZS286" s="208"/>
      <c r="RZT286" s="208"/>
      <c r="RZU286" s="208"/>
      <c r="RZV286" s="208"/>
      <c r="RZW286" s="208"/>
      <c r="RZX286" s="208"/>
      <c r="RZY286" s="208"/>
      <c r="RZZ286" s="208"/>
      <c r="SAA286" s="208"/>
      <c r="SAB286" s="208"/>
      <c r="SAC286" s="208"/>
      <c r="SAD286" s="208"/>
      <c r="SAE286" s="208"/>
      <c r="SAF286" s="208"/>
      <c r="SAG286" s="208"/>
      <c r="SAH286" s="208"/>
      <c r="SAI286" s="208"/>
      <c r="SAJ286" s="208"/>
      <c r="SAK286" s="208"/>
      <c r="SAL286" s="208"/>
      <c r="SAM286" s="208"/>
      <c r="SAN286" s="208"/>
      <c r="SAO286" s="208"/>
      <c r="SAP286" s="208"/>
      <c r="SAQ286" s="208"/>
      <c r="SAR286" s="208"/>
      <c r="SAS286" s="208"/>
      <c r="SAT286" s="208"/>
      <c r="SAU286" s="208"/>
      <c r="SAV286" s="208"/>
      <c r="SAW286" s="208"/>
      <c r="SAX286" s="208"/>
      <c r="SAY286" s="208"/>
      <c r="SAZ286" s="208"/>
      <c r="SBA286" s="208"/>
      <c r="SBB286" s="208"/>
      <c r="SBC286" s="208"/>
      <c r="SBD286" s="208"/>
      <c r="SBE286" s="208"/>
      <c r="SBF286" s="208"/>
      <c r="SBG286" s="208"/>
      <c r="SBH286" s="208"/>
      <c r="SBI286" s="208"/>
      <c r="SBJ286" s="208"/>
      <c r="SBK286" s="208"/>
      <c r="SBL286" s="208"/>
      <c r="SBM286" s="208"/>
      <c r="SBN286" s="208"/>
      <c r="SBO286" s="208"/>
      <c r="SBP286" s="208"/>
      <c r="SBQ286" s="208"/>
      <c r="SBR286" s="208"/>
      <c r="SBS286" s="208"/>
      <c r="SBT286" s="208"/>
      <c r="SBU286" s="208"/>
      <c r="SBV286" s="208"/>
      <c r="SBW286" s="208"/>
      <c r="SBX286" s="208"/>
      <c r="SBY286" s="208"/>
      <c r="SBZ286" s="208"/>
      <c r="SCA286" s="208"/>
      <c r="SCB286" s="208"/>
      <c r="SCC286" s="208"/>
      <c r="SCD286" s="208"/>
      <c r="SCE286" s="208"/>
      <c r="SCF286" s="208"/>
      <c r="SCG286" s="208"/>
      <c r="SCH286" s="208"/>
      <c r="SCI286" s="208"/>
      <c r="SCJ286" s="208"/>
      <c r="SCK286" s="208"/>
      <c r="SCL286" s="208"/>
      <c r="SCM286" s="208"/>
      <c r="SCN286" s="208"/>
      <c r="SCO286" s="208"/>
      <c r="SCP286" s="208"/>
      <c r="SCQ286" s="208"/>
      <c r="SCR286" s="208"/>
      <c r="SCS286" s="208"/>
      <c r="SCT286" s="208"/>
      <c r="SCU286" s="208"/>
      <c r="SCV286" s="208"/>
      <c r="SCW286" s="208"/>
      <c r="SCX286" s="208"/>
      <c r="SCY286" s="208"/>
      <c r="SCZ286" s="208"/>
      <c r="SDA286" s="208"/>
      <c r="SDB286" s="208"/>
      <c r="SDC286" s="208"/>
      <c r="SDD286" s="208"/>
      <c r="SDE286" s="208"/>
      <c r="SDF286" s="208"/>
      <c r="SDG286" s="208"/>
      <c r="SDH286" s="208"/>
      <c r="SDI286" s="208"/>
      <c r="SDJ286" s="208"/>
      <c r="SDK286" s="208"/>
      <c r="SDL286" s="208"/>
      <c r="SDM286" s="208"/>
      <c r="SDN286" s="208"/>
      <c r="SDO286" s="208"/>
      <c r="SDP286" s="208"/>
      <c r="SDQ286" s="208"/>
      <c r="SDR286" s="208"/>
      <c r="SDS286" s="208"/>
      <c r="SDT286" s="208"/>
      <c r="SDU286" s="208"/>
      <c r="SDV286" s="208"/>
      <c r="SDW286" s="208"/>
      <c r="SDX286" s="208"/>
      <c r="SDY286" s="208"/>
      <c r="SDZ286" s="208"/>
      <c r="SEA286" s="208"/>
      <c r="SEB286" s="208"/>
      <c r="SEC286" s="208"/>
      <c r="SED286" s="208"/>
      <c r="SEE286" s="208"/>
      <c r="SEF286" s="208"/>
      <c r="SEG286" s="208"/>
      <c r="SEH286" s="208"/>
      <c r="SEI286" s="208"/>
      <c r="SEJ286" s="208"/>
      <c r="SEK286" s="208"/>
      <c r="SEL286" s="208"/>
      <c r="SEM286" s="208"/>
      <c r="SEN286" s="208"/>
      <c r="SEO286" s="208"/>
      <c r="SEP286" s="208"/>
      <c r="SEQ286" s="208"/>
      <c r="SER286" s="208"/>
      <c r="SES286" s="208"/>
      <c r="SET286" s="208"/>
      <c r="SEU286" s="208"/>
      <c r="SEV286" s="208"/>
      <c r="SEW286" s="208"/>
      <c r="SEX286" s="208"/>
      <c r="SEY286" s="208"/>
      <c r="SEZ286" s="208"/>
      <c r="SFA286" s="208"/>
      <c r="SFB286" s="208"/>
      <c r="SFC286" s="208"/>
      <c r="SFD286" s="208"/>
      <c r="SFE286" s="208"/>
      <c r="SFF286" s="208"/>
      <c r="SFG286" s="208"/>
      <c r="SFH286" s="208"/>
      <c r="SFI286" s="208"/>
      <c r="SFJ286" s="208"/>
      <c r="SFK286" s="208"/>
      <c r="SFL286" s="208"/>
      <c r="SFM286" s="208"/>
      <c r="SFN286" s="208"/>
      <c r="SFO286" s="208"/>
      <c r="SFP286" s="208"/>
      <c r="SFQ286" s="208"/>
      <c r="SFR286" s="208"/>
      <c r="SFS286" s="208"/>
      <c r="SFT286" s="208"/>
      <c r="SFU286" s="208"/>
      <c r="SFV286" s="208"/>
      <c r="SFW286" s="208"/>
      <c r="SFX286" s="208"/>
      <c r="SFY286" s="208"/>
      <c r="SFZ286" s="208"/>
      <c r="SGA286" s="208"/>
      <c r="SGB286" s="208"/>
      <c r="SGC286" s="208"/>
      <c r="SGD286" s="208"/>
      <c r="SGE286" s="208"/>
      <c r="SGF286" s="208"/>
      <c r="SGG286" s="208"/>
      <c r="SGH286" s="208"/>
      <c r="SGI286" s="208"/>
      <c r="SGJ286" s="208"/>
      <c r="SGK286" s="208"/>
      <c r="SGL286" s="208"/>
      <c r="SGM286" s="208"/>
      <c r="SGN286" s="208"/>
      <c r="SGO286" s="208"/>
      <c r="SGP286" s="208"/>
      <c r="SGQ286" s="208"/>
      <c r="SGR286" s="208"/>
      <c r="SGS286" s="208"/>
      <c r="SGT286" s="208"/>
      <c r="SGU286" s="208"/>
      <c r="SGV286" s="208"/>
      <c r="SGW286" s="208"/>
      <c r="SGX286" s="208"/>
      <c r="SGY286" s="208"/>
      <c r="SGZ286" s="208"/>
      <c r="SHA286" s="208"/>
      <c r="SHB286" s="208"/>
      <c r="SHC286" s="208"/>
      <c r="SHD286" s="208"/>
      <c r="SHE286" s="208"/>
      <c r="SHF286" s="208"/>
      <c r="SHG286" s="208"/>
      <c r="SHH286" s="208"/>
      <c r="SHI286" s="208"/>
      <c r="SHJ286" s="208"/>
      <c r="SHK286" s="208"/>
      <c r="SHL286" s="208"/>
      <c r="SHM286" s="208"/>
      <c r="SHN286" s="208"/>
      <c r="SHO286" s="208"/>
      <c r="SHP286" s="208"/>
      <c r="SHQ286" s="208"/>
      <c r="SHR286" s="208"/>
      <c r="SHS286" s="208"/>
      <c r="SHT286" s="208"/>
      <c r="SHU286" s="208"/>
      <c r="SHV286" s="208"/>
      <c r="SHW286" s="208"/>
      <c r="SHX286" s="208"/>
      <c r="SHY286" s="208"/>
      <c r="SHZ286" s="208"/>
      <c r="SIA286" s="208"/>
      <c r="SIB286" s="208"/>
      <c r="SIC286" s="208"/>
      <c r="SID286" s="208"/>
      <c r="SIE286" s="208"/>
      <c r="SIF286" s="208"/>
      <c r="SIG286" s="208"/>
      <c r="SIH286" s="208"/>
      <c r="SII286" s="208"/>
      <c r="SIJ286" s="208"/>
      <c r="SIK286" s="208"/>
      <c r="SIL286" s="208"/>
      <c r="SIM286" s="208"/>
      <c r="SIN286" s="208"/>
      <c r="SIO286" s="208"/>
      <c r="SIP286" s="208"/>
      <c r="SIQ286" s="208"/>
      <c r="SIR286" s="208"/>
      <c r="SIS286" s="208"/>
      <c r="SIT286" s="208"/>
      <c r="SIU286" s="208"/>
      <c r="SIV286" s="208"/>
      <c r="SIW286" s="208"/>
      <c r="SIX286" s="208"/>
      <c r="SIY286" s="208"/>
      <c r="SIZ286" s="208"/>
      <c r="SJA286" s="208"/>
      <c r="SJB286" s="208"/>
      <c r="SJC286" s="208"/>
      <c r="SJD286" s="208"/>
      <c r="SJE286" s="208"/>
      <c r="SJF286" s="208"/>
      <c r="SJG286" s="208"/>
      <c r="SJH286" s="208"/>
      <c r="SJI286" s="208"/>
      <c r="SJJ286" s="208"/>
      <c r="SJK286" s="208"/>
      <c r="SJL286" s="208"/>
      <c r="SJM286" s="208"/>
      <c r="SJN286" s="208"/>
      <c r="SJO286" s="208"/>
      <c r="SJP286" s="208"/>
      <c r="SJQ286" s="208"/>
      <c r="SJR286" s="208"/>
      <c r="SJS286" s="208"/>
      <c r="SJT286" s="208"/>
      <c r="SJU286" s="208"/>
      <c r="SJV286" s="208"/>
      <c r="SJW286" s="208"/>
      <c r="SJX286" s="208"/>
      <c r="SJY286" s="208"/>
      <c r="SJZ286" s="208"/>
      <c r="SKA286" s="208"/>
      <c r="SKB286" s="208"/>
      <c r="SKC286" s="208"/>
      <c r="SKD286" s="208"/>
      <c r="SKE286" s="208"/>
      <c r="SKF286" s="208"/>
      <c r="SKG286" s="208"/>
      <c r="SKH286" s="208"/>
      <c r="SKI286" s="208"/>
      <c r="SKJ286" s="208"/>
      <c r="SKK286" s="208"/>
      <c r="SKL286" s="208"/>
      <c r="SKM286" s="208"/>
      <c r="SKN286" s="208"/>
      <c r="SKO286" s="208"/>
      <c r="SKP286" s="208"/>
      <c r="SKQ286" s="208"/>
      <c r="SKR286" s="208"/>
      <c r="SKS286" s="208"/>
      <c r="SKT286" s="208"/>
      <c r="SKU286" s="208"/>
      <c r="SKV286" s="208"/>
      <c r="SKW286" s="208"/>
      <c r="SKX286" s="208"/>
      <c r="SKY286" s="208"/>
      <c r="SKZ286" s="208"/>
      <c r="SLA286" s="208"/>
      <c r="SLB286" s="208"/>
      <c r="SLC286" s="208"/>
      <c r="SLD286" s="208"/>
      <c r="SLE286" s="208"/>
      <c r="SLF286" s="208"/>
      <c r="SLG286" s="208"/>
      <c r="SLH286" s="208"/>
      <c r="SLI286" s="208"/>
      <c r="SLJ286" s="208"/>
      <c r="SLK286" s="208"/>
      <c r="SLL286" s="208"/>
      <c r="SLM286" s="208"/>
      <c r="SLN286" s="208"/>
      <c r="SLO286" s="208"/>
      <c r="SLP286" s="208"/>
      <c r="SLQ286" s="208"/>
      <c r="SLR286" s="208"/>
      <c r="SLS286" s="208"/>
      <c r="SLT286" s="208"/>
      <c r="SLU286" s="208"/>
      <c r="SLV286" s="208"/>
      <c r="SLW286" s="208"/>
      <c r="SLX286" s="208"/>
      <c r="SLY286" s="208"/>
      <c r="SLZ286" s="208"/>
      <c r="SMA286" s="208"/>
      <c r="SMB286" s="208"/>
      <c r="SMC286" s="208"/>
      <c r="SMD286" s="208"/>
      <c r="SME286" s="208"/>
      <c r="SMF286" s="208"/>
      <c r="SMG286" s="208"/>
      <c r="SMH286" s="208"/>
      <c r="SMI286" s="208"/>
      <c r="SMJ286" s="208"/>
      <c r="SMK286" s="208"/>
      <c r="SML286" s="208"/>
      <c r="SMM286" s="208"/>
      <c r="SMN286" s="208"/>
      <c r="SMO286" s="208"/>
      <c r="SMP286" s="208"/>
      <c r="SMQ286" s="208"/>
      <c r="SMR286" s="208"/>
      <c r="SMS286" s="208"/>
      <c r="SMT286" s="208"/>
      <c r="SMU286" s="208"/>
      <c r="SMV286" s="208"/>
      <c r="SMW286" s="208"/>
      <c r="SMX286" s="208"/>
      <c r="SMY286" s="208"/>
      <c r="SMZ286" s="208"/>
      <c r="SNA286" s="208"/>
      <c r="SNB286" s="208"/>
      <c r="SNC286" s="208"/>
      <c r="SND286" s="208"/>
      <c r="SNE286" s="208"/>
      <c r="SNF286" s="208"/>
      <c r="SNG286" s="208"/>
      <c r="SNH286" s="208"/>
      <c r="SNI286" s="208"/>
      <c r="SNJ286" s="208"/>
      <c r="SNK286" s="208"/>
      <c r="SNL286" s="208"/>
      <c r="SNM286" s="208"/>
      <c r="SNN286" s="208"/>
      <c r="SNO286" s="208"/>
      <c r="SNP286" s="208"/>
      <c r="SNQ286" s="208"/>
      <c r="SNR286" s="208"/>
      <c r="SNS286" s="208"/>
      <c r="SNT286" s="208"/>
      <c r="SNU286" s="208"/>
      <c r="SNV286" s="208"/>
      <c r="SNW286" s="208"/>
      <c r="SNX286" s="208"/>
      <c r="SNY286" s="208"/>
      <c r="SNZ286" s="208"/>
      <c r="SOA286" s="208"/>
      <c r="SOB286" s="208"/>
      <c r="SOC286" s="208"/>
      <c r="SOD286" s="208"/>
      <c r="SOE286" s="208"/>
      <c r="SOF286" s="208"/>
      <c r="SOG286" s="208"/>
      <c r="SOH286" s="208"/>
      <c r="SOI286" s="208"/>
      <c r="SOJ286" s="208"/>
      <c r="SOK286" s="208"/>
      <c r="SOL286" s="208"/>
      <c r="SOM286" s="208"/>
      <c r="SON286" s="208"/>
      <c r="SOO286" s="208"/>
      <c r="SOP286" s="208"/>
      <c r="SOQ286" s="208"/>
      <c r="SOR286" s="208"/>
      <c r="SOS286" s="208"/>
      <c r="SOT286" s="208"/>
      <c r="SOU286" s="208"/>
      <c r="SOV286" s="208"/>
      <c r="SOW286" s="208"/>
      <c r="SOX286" s="208"/>
      <c r="SOY286" s="208"/>
      <c r="SOZ286" s="208"/>
      <c r="SPA286" s="208"/>
      <c r="SPB286" s="208"/>
      <c r="SPC286" s="208"/>
      <c r="SPD286" s="208"/>
      <c r="SPE286" s="208"/>
      <c r="SPF286" s="208"/>
      <c r="SPG286" s="208"/>
      <c r="SPH286" s="208"/>
      <c r="SPI286" s="208"/>
      <c r="SPJ286" s="208"/>
      <c r="SPK286" s="208"/>
      <c r="SPL286" s="208"/>
      <c r="SPM286" s="208"/>
      <c r="SPN286" s="208"/>
      <c r="SPO286" s="208"/>
      <c r="SPP286" s="208"/>
      <c r="SPQ286" s="208"/>
      <c r="SPR286" s="208"/>
      <c r="SPS286" s="208"/>
      <c r="SPT286" s="208"/>
      <c r="SPU286" s="208"/>
      <c r="SPV286" s="208"/>
      <c r="SPW286" s="208"/>
      <c r="SPX286" s="208"/>
      <c r="SPY286" s="208"/>
      <c r="SPZ286" s="208"/>
      <c r="SQA286" s="208"/>
      <c r="SQB286" s="208"/>
      <c r="SQC286" s="208"/>
      <c r="SQD286" s="208"/>
      <c r="SQE286" s="208"/>
      <c r="SQF286" s="208"/>
      <c r="SQG286" s="208"/>
      <c r="SQH286" s="208"/>
      <c r="SQI286" s="208"/>
      <c r="SQJ286" s="208"/>
      <c r="SQK286" s="208"/>
      <c r="SQL286" s="208"/>
      <c r="SQM286" s="208"/>
      <c r="SQN286" s="208"/>
      <c r="SQO286" s="208"/>
      <c r="SQP286" s="208"/>
      <c r="SQQ286" s="208"/>
      <c r="SQR286" s="208"/>
      <c r="SQS286" s="208"/>
      <c r="SQT286" s="208"/>
      <c r="SQU286" s="208"/>
      <c r="SQV286" s="208"/>
      <c r="SQW286" s="208"/>
      <c r="SQX286" s="208"/>
      <c r="SQY286" s="208"/>
      <c r="SQZ286" s="208"/>
      <c r="SRA286" s="208"/>
      <c r="SRB286" s="208"/>
      <c r="SRC286" s="208"/>
      <c r="SRD286" s="208"/>
      <c r="SRE286" s="208"/>
      <c r="SRF286" s="208"/>
      <c r="SRG286" s="208"/>
      <c r="SRH286" s="208"/>
      <c r="SRI286" s="208"/>
      <c r="SRJ286" s="208"/>
      <c r="SRK286" s="208"/>
      <c r="SRL286" s="208"/>
      <c r="SRM286" s="208"/>
      <c r="SRN286" s="208"/>
      <c r="SRO286" s="208"/>
      <c r="SRP286" s="208"/>
      <c r="SRQ286" s="208"/>
      <c r="SRR286" s="208"/>
      <c r="SRS286" s="208"/>
      <c r="SRT286" s="208"/>
      <c r="SRU286" s="208"/>
      <c r="SRV286" s="208"/>
      <c r="SRW286" s="208"/>
      <c r="SRX286" s="208"/>
      <c r="SRY286" s="208"/>
      <c r="SRZ286" s="208"/>
      <c r="SSA286" s="208"/>
      <c r="SSB286" s="208"/>
      <c r="SSC286" s="208"/>
      <c r="SSD286" s="208"/>
      <c r="SSE286" s="208"/>
      <c r="SSF286" s="208"/>
      <c r="SSG286" s="208"/>
      <c r="SSH286" s="208"/>
      <c r="SSI286" s="208"/>
      <c r="SSJ286" s="208"/>
      <c r="SSK286" s="208"/>
      <c r="SSL286" s="208"/>
      <c r="SSM286" s="208"/>
      <c r="SSN286" s="208"/>
      <c r="SSO286" s="208"/>
      <c r="SSP286" s="208"/>
      <c r="SSQ286" s="208"/>
      <c r="SSR286" s="208"/>
      <c r="SSS286" s="208"/>
      <c r="SST286" s="208"/>
      <c r="SSU286" s="208"/>
      <c r="SSV286" s="208"/>
      <c r="SSW286" s="208"/>
      <c r="SSX286" s="208"/>
      <c r="SSY286" s="208"/>
      <c r="SSZ286" s="208"/>
      <c r="STA286" s="208"/>
      <c r="STB286" s="208"/>
      <c r="STC286" s="208"/>
      <c r="STD286" s="208"/>
      <c r="STE286" s="208"/>
      <c r="STF286" s="208"/>
      <c r="STG286" s="208"/>
      <c r="STH286" s="208"/>
      <c r="STI286" s="208"/>
      <c r="STJ286" s="208"/>
      <c r="STK286" s="208"/>
      <c r="STL286" s="208"/>
      <c r="STM286" s="208"/>
      <c r="STN286" s="208"/>
      <c r="STO286" s="208"/>
      <c r="STP286" s="208"/>
      <c r="STQ286" s="208"/>
      <c r="STR286" s="208"/>
      <c r="STS286" s="208"/>
      <c r="STT286" s="208"/>
      <c r="STU286" s="208"/>
      <c r="STV286" s="208"/>
      <c r="STW286" s="208"/>
      <c r="STX286" s="208"/>
      <c r="STY286" s="208"/>
      <c r="STZ286" s="208"/>
      <c r="SUA286" s="208"/>
      <c r="SUB286" s="208"/>
      <c r="SUC286" s="208"/>
      <c r="SUD286" s="208"/>
      <c r="SUE286" s="208"/>
      <c r="SUF286" s="208"/>
      <c r="SUG286" s="208"/>
      <c r="SUH286" s="208"/>
      <c r="SUI286" s="208"/>
      <c r="SUJ286" s="208"/>
      <c r="SUK286" s="208"/>
      <c r="SUL286" s="208"/>
      <c r="SUM286" s="208"/>
      <c r="SUN286" s="208"/>
      <c r="SUO286" s="208"/>
      <c r="SUP286" s="208"/>
      <c r="SUQ286" s="208"/>
      <c r="SUR286" s="208"/>
      <c r="SUS286" s="208"/>
      <c r="SUT286" s="208"/>
      <c r="SUU286" s="208"/>
      <c r="SUV286" s="208"/>
      <c r="SUW286" s="208"/>
      <c r="SUX286" s="208"/>
      <c r="SUY286" s="208"/>
      <c r="SUZ286" s="208"/>
      <c r="SVA286" s="208"/>
      <c r="SVB286" s="208"/>
      <c r="SVC286" s="208"/>
      <c r="SVD286" s="208"/>
      <c r="SVE286" s="208"/>
      <c r="SVF286" s="208"/>
      <c r="SVG286" s="208"/>
      <c r="SVH286" s="208"/>
      <c r="SVI286" s="208"/>
      <c r="SVJ286" s="208"/>
      <c r="SVK286" s="208"/>
      <c r="SVL286" s="208"/>
      <c r="SVM286" s="208"/>
      <c r="SVN286" s="208"/>
      <c r="SVO286" s="208"/>
      <c r="SVP286" s="208"/>
      <c r="SVQ286" s="208"/>
      <c r="SVR286" s="208"/>
      <c r="SVS286" s="208"/>
      <c r="SVT286" s="208"/>
      <c r="SVU286" s="208"/>
      <c r="SVV286" s="208"/>
      <c r="SVW286" s="208"/>
      <c r="SVX286" s="208"/>
      <c r="SVY286" s="208"/>
      <c r="SVZ286" s="208"/>
      <c r="SWA286" s="208"/>
      <c r="SWB286" s="208"/>
      <c r="SWC286" s="208"/>
      <c r="SWD286" s="208"/>
      <c r="SWE286" s="208"/>
      <c r="SWF286" s="208"/>
      <c r="SWG286" s="208"/>
      <c r="SWH286" s="208"/>
      <c r="SWI286" s="208"/>
      <c r="SWJ286" s="208"/>
      <c r="SWK286" s="208"/>
      <c r="SWL286" s="208"/>
      <c r="SWM286" s="208"/>
      <c r="SWN286" s="208"/>
      <c r="SWO286" s="208"/>
      <c r="SWP286" s="208"/>
      <c r="SWQ286" s="208"/>
      <c r="SWR286" s="208"/>
      <c r="SWS286" s="208"/>
      <c r="SWT286" s="208"/>
      <c r="SWU286" s="208"/>
      <c r="SWV286" s="208"/>
      <c r="SWW286" s="208"/>
      <c r="SWX286" s="208"/>
      <c r="SWY286" s="208"/>
      <c r="SWZ286" s="208"/>
      <c r="SXA286" s="208"/>
      <c r="SXB286" s="208"/>
      <c r="SXC286" s="208"/>
      <c r="SXD286" s="208"/>
      <c r="SXE286" s="208"/>
      <c r="SXF286" s="208"/>
      <c r="SXG286" s="208"/>
      <c r="SXH286" s="208"/>
      <c r="SXI286" s="208"/>
      <c r="SXJ286" s="208"/>
      <c r="SXK286" s="208"/>
      <c r="SXL286" s="208"/>
      <c r="SXM286" s="208"/>
      <c r="SXN286" s="208"/>
      <c r="SXO286" s="208"/>
      <c r="SXP286" s="208"/>
      <c r="SXQ286" s="208"/>
      <c r="SXR286" s="208"/>
      <c r="SXS286" s="208"/>
      <c r="SXT286" s="208"/>
      <c r="SXU286" s="208"/>
      <c r="SXV286" s="208"/>
      <c r="SXW286" s="208"/>
      <c r="SXX286" s="208"/>
      <c r="SXY286" s="208"/>
      <c r="SXZ286" s="208"/>
      <c r="SYA286" s="208"/>
      <c r="SYB286" s="208"/>
      <c r="SYC286" s="208"/>
      <c r="SYD286" s="208"/>
      <c r="SYE286" s="208"/>
      <c r="SYF286" s="208"/>
      <c r="SYG286" s="208"/>
      <c r="SYH286" s="208"/>
      <c r="SYI286" s="208"/>
      <c r="SYJ286" s="208"/>
      <c r="SYK286" s="208"/>
      <c r="SYL286" s="208"/>
      <c r="SYM286" s="208"/>
      <c r="SYN286" s="208"/>
      <c r="SYO286" s="208"/>
      <c r="SYP286" s="208"/>
      <c r="SYQ286" s="208"/>
      <c r="SYR286" s="208"/>
      <c r="SYS286" s="208"/>
      <c r="SYT286" s="208"/>
      <c r="SYU286" s="208"/>
      <c r="SYV286" s="208"/>
      <c r="SYW286" s="208"/>
      <c r="SYX286" s="208"/>
      <c r="SYY286" s="208"/>
      <c r="SYZ286" s="208"/>
      <c r="SZA286" s="208"/>
      <c r="SZB286" s="208"/>
      <c r="SZC286" s="208"/>
      <c r="SZD286" s="208"/>
      <c r="SZE286" s="208"/>
      <c r="SZF286" s="208"/>
      <c r="SZG286" s="208"/>
      <c r="SZH286" s="208"/>
      <c r="SZI286" s="208"/>
      <c r="SZJ286" s="208"/>
      <c r="SZK286" s="208"/>
      <c r="SZL286" s="208"/>
      <c r="SZM286" s="208"/>
      <c r="SZN286" s="208"/>
      <c r="SZO286" s="208"/>
      <c r="SZP286" s="208"/>
      <c r="SZQ286" s="208"/>
      <c r="SZR286" s="208"/>
      <c r="SZS286" s="208"/>
      <c r="SZT286" s="208"/>
      <c r="SZU286" s="208"/>
      <c r="SZV286" s="208"/>
      <c r="SZW286" s="208"/>
      <c r="SZX286" s="208"/>
      <c r="SZY286" s="208"/>
      <c r="SZZ286" s="208"/>
      <c r="TAA286" s="208"/>
      <c r="TAB286" s="208"/>
      <c r="TAC286" s="208"/>
      <c r="TAD286" s="208"/>
      <c r="TAE286" s="208"/>
      <c r="TAF286" s="208"/>
      <c r="TAG286" s="208"/>
      <c r="TAH286" s="208"/>
      <c r="TAI286" s="208"/>
      <c r="TAJ286" s="208"/>
      <c r="TAK286" s="208"/>
      <c r="TAL286" s="208"/>
      <c r="TAM286" s="208"/>
      <c r="TAN286" s="208"/>
      <c r="TAO286" s="208"/>
      <c r="TAP286" s="208"/>
      <c r="TAQ286" s="208"/>
      <c r="TAR286" s="208"/>
      <c r="TAS286" s="208"/>
      <c r="TAT286" s="208"/>
      <c r="TAU286" s="208"/>
      <c r="TAV286" s="208"/>
      <c r="TAW286" s="208"/>
      <c r="TAX286" s="208"/>
      <c r="TAY286" s="208"/>
      <c r="TAZ286" s="208"/>
      <c r="TBA286" s="208"/>
      <c r="TBB286" s="208"/>
      <c r="TBC286" s="208"/>
      <c r="TBD286" s="208"/>
      <c r="TBE286" s="208"/>
      <c r="TBF286" s="208"/>
      <c r="TBG286" s="208"/>
      <c r="TBH286" s="208"/>
      <c r="TBI286" s="208"/>
      <c r="TBJ286" s="208"/>
      <c r="TBK286" s="208"/>
      <c r="TBL286" s="208"/>
      <c r="TBM286" s="208"/>
      <c r="TBN286" s="208"/>
      <c r="TBO286" s="208"/>
      <c r="TBP286" s="208"/>
      <c r="TBQ286" s="208"/>
      <c r="TBR286" s="208"/>
      <c r="TBS286" s="208"/>
      <c r="TBT286" s="208"/>
      <c r="TBU286" s="208"/>
      <c r="TBV286" s="208"/>
      <c r="TBW286" s="208"/>
      <c r="TBX286" s="208"/>
      <c r="TBY286" s="208"/>
      <c r="TBZ286" s="208"/>
      <c r="TCA286" s="208"/>
      <c r="TCB286" s="208"/>
      <c r="TCC286" s="208"/>
      <c r="TCD286" s="208"/>
      <c r="TCE286" s="208"/>
      <c r="TCF286" s="208"/>
      <c r="TCG286" s="208"/>
      <c r="TCH286" s="208"/>
      <c r="TCI286" s="208"/>
      <c r="TCJ286" s="208"/>
      <c r="TCK286" s="208"/>
      <c r="TCL286" s="208"/>
      <c r="TCM286" s="208"/>
      <c r="TCN286" s="208"/>
      <c r="TCO286" s="208"/>
      <c r="TCP286" s="208"/>
      <c r="TCQ286" s="208"/>
      <c r="TCR286" s="208"/>
      <c r="TCS286" s="208"/>
      <c r="TCT286" s="208"/>
      <c r="TCU286" s="208"/>
      <c r="TCV286" s="208"/>
      <c r="TCW286" s="208"/>
      <c r="TCX286" s="208"/>
      <c r="TCY286" s="208"/>
      <c r="TCZ286" s="208"/>
      <c r="TDA286" s="208"/>
      <c r="TDB286" s="208"/>
      <c r="TDC286" s="208"/>
      <c r="TDD286" s="208"/>
      <c r="TDE286" s="208"/>
      <c r="TDF286" s="208"/>
      <c r="TDG286" s="208"/>
      <c r="TDH286" s="208"/>
      <c r="TDI286" s="208"/>
      <c r="TDJ286" s="208"/>
      <c r="TDK286" s="208"/>
      <c r="TDL286" s="208"/>
      <c r="TDM286" s="208"/>
      <c r="TDN286" s="208"/>
      <c r="TDO286" s="208"/>
      <c r="TDP286" s="208"/>
      <c r="TDQ286" s="208"/>
      <c r="TDR286" s="208"/>
      <c r="TDS286" s="208"/>
      <c r="TDT286" s="208"/>
      <c r="TDU286" s="208"/>
      <c r="TDV286" s="208"/>
      <c r="TDW286" s="208"/>
      <c r="TDX286" s="208"/>
      <c r="TDY286" s="208"/>
      <c r="TDZ286" s="208"/>
      <c r="TEA286" s="208"/>
      <c r="TEB286" s="208"/>
      <c r="TEC286" s="208"/>
      <c r="TED286" s="208"/>
      <c r="TEE286" s="208"/>
      <c r="TEF286" s="208"/>
      <c r="TEG286" s="208"/>
      <c r="TEH286" s="208"/>
      <c r="TEI286" s="208"/>
      <c r="TEJ286" s="208"/>
      <c r="TEK286" s="208"/>
      <c r="TEL286" s="208"/>
      <c r="TEM286" s="208"/>
      <c r="TEN286" s="208"/>
      <c r="TEO286" s="208"/>
      <c r="TEP286" s="208"/>
      <c r="TEQ286" s="208"/>
      <c r="TER286" s="208"/>
      <c r="TES286" s="208"/>
      <c r="TET286" s="208"/>
      <c r="TEU286" s="208"/>
      <c r="TEV286" s="208"/>
      <c r="TEW286" s="208"/>
      <c r="TEX286" s="208"/>
      <c r="TEY286" s="208"/>
      <c r="TEZ286" s="208"/>
      <c r="TFA286" s="208"/>
      <c r="TFB286" s="208"/>
      <c r="TFC286" s="208"/>
      <c r="TFD286" s="208"/>
      <c r="TFE286" s="208"/>
      <c r="TFF286" s="208"/>
      <c r="TFG286" s="208"/>
      <c r="TFH286" s="208"/>
      <c r="TFI286" s="208"/>
      <c r="TFJ286" s="208"/>
      <c r="TFK286" s="208"/>
      <c r="TFL286" s="208"/>
      <c r="TFM286" s="208"/>
      <c r="TFN286" s="208"/>
      <c r="TFO286" s="208"/>
      <c r="TFP286" s="208"/>
      <c r="TFQ286" s="208"/>
      <c r="TFR286" s="208"/>
      <c r="TFS286" s="208"/>
      <c r="TFT286" s="208"/>
      <c r="TFU286" s="208"/>
      <c r="TFV286" s="208"/>
      <c r="TFW286" s="208"/>
      <c r="TFX286" s="208"/>
      <c r="TFY286" s="208"/>
      <c r="TFZ286" s="208"/>
      <c r="TGA286" s="208"/>
      <c r="TGB286" s="208"/>
      <c r="TGC286" s="208"/>
      <c r="TGD286" s="208"/>
      <c r="TGE286" s="208"/>
      <c r="TGF286" s="208"/>
      <c r="TGG286" s="208"/>
      <c r="TGH286" s="208"/>
      <c r="TGI286" s="208"/>
      <c r="TGJ286" s="208"/>
      <c r="TGK286" s="208"/>
      <c r="TGL286" s="208"/>
      <c r="TGM286" s="208"/>
      <c r="TGN286" s="208"/>
      <c r="TGO286" s="208"/>
      <c r="TGP286" s="208"/>
      <c r="TGQ286" s="208"/>
      <c r="TGR286" s="208"/>
      <c r="TGS286" s="208"/>
      <c r="TGT286" s="208"/>
      <c r="TGU286" s="208"/>
      <c r="TGV286" s="208"/>
      <c r="TGW286" s="208"/>
      <c r="TGX286" s="208"/>
      <c r="TGY286" s="208"/>
      <c r="TGZ286" s="208"/>
      <c r="THA286" s="208"/>
      <c r="THB286" s="208"/>
      <c r="THC286" s="208"/>
      <c r="THD286" s="208"/>
      <c r="THE286" s="208"/>
      <c r="THF286" s="208"/>
      <c r="THG286" s="208"/>
      <c r="THH286" s="208"/>
      <c r="THI286" s="208"/>
      <c r="THJ286" s="208"/>
      <c r="THK286" s="208"/>
      <c r="THL286" s="208"/>
      <c r="THM286" s="208"/>
      <c r="THN286" s="208"/>
      <c r="THO286" s="208"/>
      <c r="THP286" s="208"/>
      <c r="THQ286" s="208"/>
      <c r="THR286" s="208"/>
      <c r="THS286" s="208"/>
      <c r="THT286" s="208"/>
      <c r="THU286" s="208"/>
      <c r="THV286" s="208"/>
      <c r="THW286" s="208"/>
      <c r="THX286" s="208"/>
      <c r="THY286" s="208"/>
      <c r="THZ286" s="208"/>
      <c r="TIA286" s="208"/>
      <c r="TIB286" s="208"/>
      <c r="TIC286" s="208"/>
      <c r="TID286" s="208"/>
      <c r="TIE286" s="208"/>
      <c r="TIF286" s="208"/>
      <c r="TIG286" s="208"/>
      <c r="TIH286" s="208"/>
      <c r="TII286" s="208"/>
      <c r="TIJ286" s="208"/>
      <c r="TIK286" s="208"/>
      <c r="TIL286" s="208"/>
      <c r="TIM286" s="208"/>
      <c r="TIN286" s="208"/>
      <c r="TIO286" s="208"/>
      <c r="TIP286" s="208"/>
      <c r="TIQ286" s="208"/>
      <c r="TIR286" s="208"/>
      <c r="TIS286" s="208"/>
      <c r="TIT286" s="208"/>
      <c r="TIU286" s="208"/>
      <c r="TIV286" s="208"/>
      <c r="TIW286" s="208"/>
      <c r="TIX286" s="208"/>
      <c r="TIY286" s="208"/>
      <c r="TIZ286" s="208"/>
      <c r="TJA286" s="208"/>
      <c r="TJB286" s="208"/>
      <c r="TJC286" s="208"/>
      <c r="TJD286" s="208"/>
      <c r="TJE286" s="208"/>
      <c r="TJF286" s="208"/>
      <c r="TJG286" s="208"/>
      <c r="TJH286" s="208"/>
      <c r="TJI286" s="208"/>
      <c r="TJJ286" s="208"/>
      <c r="TJK286" s="208"/>
      <c r="TJL286" s="208"/>
      <c r="TJM286" s="208"/>
      <c r="TJN286" s="208"/>
      <c r="TJO286" s="208"/>
      <c r="TJP286" s="208"/>
      <c r="TJQ286" s="208"/>
      <c r="TJR286" s="208"/>
      <c r="TJS286" s="208"/>
      <c r="TJT286" s="208"/>
      <c r="TJU286" s="208"/>
      <c r="TJV286" s="208"/>
      <c r="TJW286" s="208"/>
      <c r="TJX286" s="208"/>
      <c r="TJY286" s="208"/>
      <c r="TJZ286" s="208"/>
      <c r="TKA286" s="208"/>
      <c r="TKB286" s="208"/>
      <c r="TKC286" s="208"/>
      <c r="TKD286" s="208"/>
      <c r="TKE286" s="208"/>
      <c r="TKF286" s="208"/>
      <c r="TKG286" s="208"/>
      <c r="TKH286" s="208"/>
      <c r="TKI286" s="208"/>
      <c r="TKJ286" s="208"/>
      <c r="TKK286" s="208"/>
      <c r="TKL286" s="208"/>
      <c r="TKM286" s="208"/>
      <c r="TKN286" s="208"/>
      <c r="TKO286" s="208"/>
      <c r="TKP286" s="208"/>
      <c r="TKQ286" s="208"/>
      <c r="TKR286" s="208"/>
      <c r="TKS286" s="208"/>
      <c r="TKT286" s="208"/>
      <c r="TKU286" s="208"/>
      <c r="TKV286" s="208"/>
      <c r="TKW286" s="208"/>
      <c r="TKX286" s="208"/>
      <c r="TKY286" s="208"/>
      <c r="TKZ286" s="208"/>
      <c r="TLA286" s="208"/>
      <c r="TLB286" s="208"/>
      <c r="TLC286" s="208"/>
      <c r="TLD286" s="208"/>
      <c r="TLE286" s="208"/>
      <c r="TLF286" s="208"/>
      <c r="TLG286" s="208"/>
      <c r="TLH286" s="208"/>
      <c r="TLI286" s="208"/>
      <c r="TLJ286" s="208"/>
      <c r="TLK286" s="208"/>
      <c r="TLL286" s="208"/>
      <c r="TLM286" s="208"/>
      <c r="TLN286" s="208"/>
      <c r="TLO286" s="208"/>
      <c r="TLP286" s="208"/>
      <c r="TLQ286" s="208"/>
      <c r="TLR286" s="208"/>
      <c r="TLS286" s="208"/>
      <c r="TLT286" s="208"/>
      <c r="TLU286" s="208"/>
      <c r="TLV286" s="208"/>
      <c r="TLW286" s="208"/>
      <c r="TLX286" s="208"/>
      <c r="TLY286" s="208"/>
      <c r="TLZ286" s="208"/>
      <c r="TMA286" s="208"/>
      <c r="TMB286" s="208"/>
      <c r="TMC286" s="208"/>
      <c r="TMD286" s="208"/>
      <c r="TME286" s="208"/>
      <c r="TMF286" s="208"/>
      <c r="TMG286" s="208"/>
      <c r="TMH286" s="208"/>
      <c r="TMI286" s="208"/>
      <c r="TMJ286" s="208"/>
      <c r="TMK286" s="208"/>
      <c r="TML286" s="208"/>
      <c r="TMM286" s="208"/>
      <c r="TMN286" s="208"/>
      <c r="TMO286" s="208"/>
      <c r="TMP286" s="208"/>
      <c r="TMQ286" s="208"/>
      <c r="TMR286" s="208"/>
      <c r="TMS286" s="208"/>
      <c r="TMT286" s="208"/>
      <c r="TMU286" s="208"/>
      <c r="TMV286" s="208"/>
      <c r="TMW286" s="208"/>
      <c r="TMX286" s="208"/>
      <c r="TMY286" s="208"/>
      <c r="TMZ286" s="208"/>
      <c r="TNA286" s="208"/>
      <c r="TNB286" s="208"/>
      <c r="TNC286" s="208"/>
      <c r="TND286" s="208"/>
      <c r="TNE286" s="208"/>
      <c r="TNF286" s="208"/>
      <c r="TNG286" s="208"/>
      <c r="TNH286" s="208"/>
      <c r="TNI286" s="208"/>
      <c r="TNJ286" s="208"/>
      <c r="TNK286" s="208"/>
      <c r="TNL286" s="208"/>
      <c r="TNM286" s="208"/>
      <c r="TNN286" s="208"/>
      <c r="TNO286" s="208"/>
      <c r="TNP286" s="208"/>
      <c r="TNQ286" s="208"/>
      <c r="TNR286" s="208"/>
      <c r="TNS286" s="208"/>
      <c r="TNT286" s="208"/>
      <c r="TNU286" s="208"/>
      <c r="TNV286" s="208"/>
      <c r="TNW286" s="208"/>
      <c r="TNX286" s="208"/>
      <c r="TNY286" s="208"/>
      <c r="TNZ286" s="208"/>
      <c r="TOA286" s="208"/>
      <c r="TOB286" s="208"/>
      <c r="TOC286" s="208"/>
      <c r="TOD286" s="208"/>
      <c r="TOE286" s="208"/>
      <c r="TOF286" s="208"/>
      <c r="TOG286" s="208"/>
      <c r="TOH286" s="208"/>
      <c r="TOI286" s="208"/>
      <c r="TOJ286" s="208"/>
      <c r="TOK286" s="208"/>
      <c r="TOL286" s="208"/>
      <c r="TOM286" s="208"/>
      <c r="TON286" s="208"/>
      <c r="TOO286" s="208"/>
      <c r="TOP286" s="208"/>
      <c r="TOQ286" s="208"/>
      <c r="TOR286" s="208"/>
      <c r="TOS286" s="208"/>
      <c r="TOT286" s="208"/>
      <c r="TOU286" s="208"/>
      <c r="TOV286" s="208"/>
      <c r="TOW286" s="208"/>
      <c r="TOX286" s="208"/>
      <c r="TOY286" s="208"/>
      <c r="TOZ286" s="208"/>
      <c r="TPA286" s="208"/>
      <c r="TPB286" s="208"/>
      <c r="TPC286" s="208"/>
      <c r="TPD286" s="208"/>
      <c r="TPE286" s="208"/>
      <c r="TPF286" s="208"/>
      <c r="TPG286" s="208"/>
      <c r="TPH286" s="208"/>
      <c r="TPI286" s="208"/>
      <c r="TPJ286" s="208"/>
      <c r="TPK286" s="208"/>
      <c r="TPL286" s="208"/>
      <c r="TPM286" s="208"/>
      <c r="TPN286" s="208"/>
      <c r="TPO286" s="208"/>
      <c r="TPP286" s="208"/>
      <c r="TPQ286" s="208"/>
      <c r="TPR286" s="208"/>
      <c r="TPS286" s="208"/>
      <c r="TPT286" s="208"/>
      <c r="TPU286" s="208"/>
      <c r="TPV286" s="208"/>
      <c r="TPW286" s="208"/>
      <c r="TPX286" s="208"/>
      <c r="TPY286" s="208"/>
      <c r="TPZ286" s="208"/>
      <c r="TQA286" s="208"/>
      <c r="TQB286" s="208"/>
      <c r="TQC286" s="208"/>
      <c r="TQD286" s="208"/>
      <c r="TQE286" s="208"/>
      <c r="TQF286" s="208"/>
      <c r="TQG286" s="208"/>
      <c r="TQH286" s="208"/>
      <c r="TQI286" s="208"/>
      <c r="TQJ286" s="208"/>
      <c r="TQK286" s="208"/>
      <c r="TQL286" s="208"/>
      <c r="TQM286" s="208"/>
      <c r="TQN286" s="208"/>
      <c r="TQO286" s="208"/>
      <c r="TQP286" s="208"/>
      <c r="TQQ286" s="208"/>
      <c r="TQR286" s="208"/>
      <c r="TQS286" s="208"/>
      <c r="TQT286" s="208"/>
      <c r="TQU286" s="208"/>
      <c r="TQV286" s="208"/>
      <c r="TQW286" s="208"/>
      <c r="TQX286" s="208"/>
      <c r="TQY286" s="208"/>
      <c r="TQZ286" s="208"/>
      <c r="TRA286" s="208"/>
      <c r="TRB286" s="208"/>
      <c r="TRC286" s="208"/>
      <c r="TRD286" s="208"/>
      <c r="TRE286" s="208"/>
      <c r="TRF286" s="208"/>
      <c r="TRG286" s="208"/>
      <c r="TRH286" s="208"/>
      <c r="TRI286" s="208"/>
      <c r="TRJ286" s="208"/>
      <c r="TRK286" s="208"/>
      <c r="TRL286" s="208"/>
      <c r="TRM286" s="208"/>
      <c r="TRN286" s="208"/>
      <c r="TRO286" s="208"/>
      <c r="TRP286" s="208"/>
      <c r="TRQ286" s="208"/>
      <c r="TRR286" s="208"/>
      <c r="TRS286" s="208"/>
      <c r="TRT286" s="208"/>
      <c r="TRU286" s="208"/>
      <c r="TRV286" s="208"/>
      <c r="TRW286" s="208"/>
      <c r="TRX286" s="208"/>
      <c r="TRY286" s="208"/>
      <c r="TRZ286" s="208"/>
      <c r="TSA286" s="208"/>
      <c r="TSB286" s="208"/>
      <c r="TSC286" s="208"/>
      <c r="TSD286" s="208"/>
      <c r="TSE286" s="208"/>
      <c r="TSF286" s="208"/>
      <c r="TSG286" s="208"/>
      <c r="TSH286" s="208"/>
      <c r="TSI286" s="208"/>
      <c r="TSJ286" s="208"/>
      <c r="TSK286" s="208"/>
      <c r="TSL286" s="208"/>
      <c r="TSM286" s="208"/>
      <c r="TSN286" s="208"/>
      <c r="TSO286" s="208"/>
      <c r="TSP286" s="208"/>
      <c r="TSQ286" s="208"/>
      <c r="TSR286" s="208"/>
      <c r="TSS286" s="208"/>
      <c r="TST286" s="208"/>
      <c r="TSU286" s="208"/>
      <c r="TSV286" s="208"/>
      <c r="TSW286" s="208"/>
      <c r="TSX286" s="208"/>
      <c r="TSY286" s="208"/>
      <c r="TSZ286" s="208"/>
      <c r="TTA286" s="208"/>
      <c r="TTB286" s="208"/>
      <c r="TTC286" s="208"/>
      <c r="TTD286" s="208"/>
      <c r="TTE286" s="208"/>
      <c r="TTF286" s="208"/>
      <c r="TTG286" s="208"/>
      <c r="TTH286" s="208"/>
      <c r="TTI286" s="208"/>
      <c r="TTJ286" s="208"/>
      <c r="TTK286" s="208"/>
      <c r="TTL286" s="208"/>
      <c r="TTM286" s="208"/>
      <c r="TTN286" s="208"/>
      <c r="TTO286" s="208"/>
      <c r="TTP286" s="208"/>
      <c r="TTQ286" s="208"/>
      <c r="TTR286" s="208"/>
      <c r="TTS286" s="208"/>
      <c r="TTT286" s="208"/>
      <c r="TTU286" s="208"/>
      <c r="TTV286" s="208"/>
      <c r="TTW286" s="208"/>
      <c r="TTX286" s="208"/>
      <c r="TTY286" s="208"/>
      <c r="TTZ286" s="208"/>
      <c r="TUA286" s="208"/>
      <c r="TUB286" s="208"/>
      <c r="TUC286" s="208"/>
      <c r="TUD286" s="208"/>
      <c r="TUE286" s="208"/>
      <c r="TUF286" s="208"/>
      <c r="TUG286" s="208"/>
      <c r="TUH286" s="208"/>
      <c r="TUI286" s="208"/>
      <c r="TUJ286" s="208"/>
      <c r="TUK286" s="208"/>
      <c r="TUL286" s="208"/>
      <c r="TUM286" s="208"/>
      <c r="TUN286" s="208"/>
      <c r="TUO286" s="208"/>
      <c r="TUP286" s="208"/>
      <c r="TUQ286" s="208"/>
      <c r="TUR286" s="208"/>
      <c r="TUS286" s="208"/>
      <c r="TUT286" s="208"/>
      <c r="TUU286" s="208"/>
      <c r="TUV286" s="208"/>
      <c r="TUW286" s="208"/>
      <c r="TUX286" s="208"/>
      <c r="TUY286" s="208"/>
      <c r="TUZ286" s="208"/>
      <c r="TVA286" s="208"/>
      <c r="TVB286" s="208"/>
      <c r="TVC286" s="208"/>
      <c r="TVD286" s="208"/>
      <c r="TVE286" s="208"/>
      <c r="TVF286" s="208"/>
      <c r="TVG286" s="208"/>
      <c r="TVH286" s="208"/>
      <c r="TVI286" s="208"/>
      <c r="TVJ286" s="208"/>
      <c r="TVK286" s="208"/>
      <c r="TVL286" s="208"/>
      <c r="TVM286" s="208"/>
      <c r="TVN286" s="208"/>
      <c r="TVO286" s="208"/>
      <c r="TVP286" s="208"/>
      <c r="TVQ286" s="208"/>
      <c r="TVR286" s="208"/>
      <c r="TVS286" s="208"/>
      <c r="TVT286" s="208"/>
      <c r="TVU286" s="208"/>
      <c r="TVV286" s="208"/>
      <c r="TVW286" s="208"/>
      <c r="TVX286" s="208"/>
      <c r="TVY286" s="208"/>
      <c r="TVZ286" s="208"/>
      <c r="TWA286" s="208"/>
      <c r="TWB286" s="208"/>
      <c r="TWC286" s="208"/>
      <c r="TWD286" s="208"/>
      <c r="TWE286" s="208"/>
      <c r="TWF286" s="208"/>
      <c r="TWG286" s="208"/>
      <c r="TWH286" s="208"/>
      <c r="TWI286" s="208"/>
      <c r="TWJ286" s="208"/>
      <c r="TWK286" s="208"/>
      <c r="TWL286" s="208"/>
      <c r="TWM286" s="208"/>
      <c r="TWN286" s="208"/>
      <c r="TWO286" s="208"/>
      <c r="TWP286" s="208"/>
      <c r="TWQ286" s="208"/>
      <c r="TWR286" s="208"/>
      <c r="TWS286" s="208"/>
      <c r="TWT286" s="208"/>
      <c r="TWU286" s="208"/>
      <c r="TWV286" s="208"/>
      <c r="TWW286" s="208"/>
      <c r="TWX286" s="208"/>
      <c r="TWY286" s="208"/>
      <c r="TWZ286" s="208"/>
      <c r="TXA286" s="208"/>
      <c r="TXB286" s="208"/>
      <c r="TXC286" s="208"/>
      <c r="TXD286" s="208"/>
      <c r="TXE286" s="208"/>
      <c r="TXF286" s="208"/>
      <c r="TXG286" s="208"/>
      <c r="TXH286" s="208"/>
      <c r="TXI286" s="208"/>
      <c r="TXJ286" s="208"/>
      <c r="TXK286" s="208"/>
      <c r="TXL286" s="208"/>
      <c r="TXM286" s="208"/>
      <c r="TXN286" s="208"/>
      <c r="TXO286" s="208"/>
      <c r="TXP286" s="208"/>
      <c r="TXQ286" s="208"/>
      <c r="TXR286" s="208"/>
      <c r="TXS286" s="208"/>
      <c r="TXT286" s="208"/>
      <c r="TXU286" s="208"/>
      <c r="TXV286" s="208"/>
      <c r="TXW286" s="208"/>
      <c r="TXX286" s="208"/>
      <c r="TXY286" s="208"/>
      <c r="TXZ286" s="208"/>
      <c r="TYA286" s="208"/>
      <c r="TYB286" s="208"/>
      <c r="TYC286" s="208"/>
      <c r="TYD286" s="208"/>
      <c r="TYE286" s="208"/>
      <c r="TYF286" s="208"/>
      <c r="TYG286" s="208"/>
      <c r="TYH286" s="208"/>
      <c r="TYI286" s="208"/>
      <c r="TYJ286" s="208"/>
      <c r="TYK286" s="208"/>
      <c r="TYL286" s="208"/>
      <c r="TYM286" s="208"/>
      <c r="TYN286" s="208"/>
      <c r="TYO286" s="208"/>
      <c r="TYP286" s="208"/>
      <c r="TYQ286" s="208"/>
      <c r="TYR286" s="208"/>
      <c r="TYS286" s="208"/>
      <c r="TYT286" s="208"/>
      <c r="TYU286" s="208"/>
      <c r="TYV286" s="208"/>
      <c r="TYW286" s="208"/>
      <c r="TYX286" s="208"/>
      <c r="TYY286" s="208"/>
      <c r="TYZ286" s="208"/>
      <c r="TZA286" s="208"/>
      <c r="TZB286" s="208"/>
      <c r="TZC286" s="208"/>
      <c r="TZD286" s="208"/>
      <c r="TZE286" s="208"/>
      <c r="TZF286" s="208"/>
      <c r="TZG286" s="208"/>
      <c r="TZH286" s="208"/>
      <c r="TZI286" s="208"/>
      <c r="TZJ286" s="208"/>
      <c r="TZK286" s="208"/>
      <c r="TZL286" s="208"/>
      <c r="TZM286" s="208"/>
      <c r="TZN286" s="208"/>
      <c r="TZO286" s="208"/>
      <c r="TZP286" s="208"/>
      <c r="TZQ286" s="208"/>
      <c r="TZR286" s="208"/>
      <c r="TZS286" s="208"/>
      <c r="TZT286" s="208"/>
      <c r="TZU286" s="208"/>
      <c r="TZV286" s="208"/>
      <c r="TZW286" s="208"/>
      <c r="TZX286" s="208"/>
      <c r="TZY286" s="208"/>
      <c r="TZZ286" s="208"/>
      <c r="UAA286" s="208"/>
      <c r="UAB286" s="208"/>
      <c r="UAC286" s="208"/>
      <c r="UAD286" s="208"/>
      <c r="UAE286" s="208"/>
      <c r="UAF286" s="208"/>
      <c r="UAG286" s="208"/>
      <c r="UAH286" s="208"/>
      <c r="UAI286" s="208"/>
      <c r="UAJ286" s="208"/>
      <c r="UAK286" s="208"/>
      <c r="UAL286" s="208"/>
      <c r="UAM286" s="208"/>
      <c r="UAN286" s="208"/>
      <c r="UAO286" s="208"/>
      <c r="UAP286" s="208"/>
      <c r="UAQ286" s="208"/>
      <c r="UAR286" s="208"/>
      <c r="UAS286" s="208"/>
      <c r="UAT286" s="208"/>
      <c r="UAU286" s="208"/>
      <c r="UAV286" s="208"/>
      <c r="UAW286" s="208"/>
      <c r="UAX286" s="208"/>
      <c r="UAY286" s="208"/>
      <c r="UAZ286" s="208"/>
      <c r="UBA286" s="208"/>
      <c r="UBB286" s="208"/>
      <c r="UBC286" s="208"/>
      <c r="UBD286" s="208"/>
      <c r="UBE286" s="208"/>
      <c r="UBF286" s="208"/>
      <c r="UBG286" s="208"/>
      <c r="UBH286" s="208"/>
      <c r="UBI286" s="208"/>
      <c r="UBJ286" s="208"/>
      <c r="UBK286" s="208"/>
      <c r="UBL286" s="208"/>
      <c r="UBM286" s="208"/>
      <c r="UBN286" s="208"/>
      <c r="UBO286" s="208"/>
      <c r="UBP286" s="208"/>
      <c r="UBQ286" s="208"/>
      <c r="UBR286" s="208"/>
      <c r="UBS286" s="208"/>
      <c r="UBT286" s="208"/>
      <c r="UBU286" s="208"/>
      <c r="UBV286" s="208"/>
      <c r="UBW286" s="208"/>
      <c r="UBX286" s="208"/>
      <c r="UBY286" s="208"/>
      <c r="UBZ286" s="208"/>
      <c r="UCA286" s="208"/>
      <c r="UCB286" s="208"/>
      <c r="UCC286" s="208"/>
      <c r="UCD286" s="208"/>
      <c r="UCE286" s="208"/>
      <c r="UCF286" s="208"/>
      <c r="UCG286" s="208"/>
      <c r="UCH286" s="208"/>
      <c r="UCI286" s="208"/>
      <c r="UCJ286" s="208"/>
      <c r="UCK286" s="208"/>
      <c r="UCL286" s="208"/>
      <c r="UCM286" s="208"/>
      <c r="UCN286" s="208"/>
      <c r="UCO286" s="208"/>
      <c r="UCP286" s="208"/>
      <c r="UCQ286" s="208"/>
      <c r="UCR286" s="208"/>
      <c r="UCS286" s="208"/>
      <c r="UCT286" s="208"/>
      <c r="UCU286" s="208"/>
      <c r="UCV286" s="208"/>
      <c r="UCW286" s="208"/>
      <c r="UCX286" s="208"/>
      <c r="UCY286" s="208"/>
      <c r="UCZ286" s="208"/>
      <c r="UDA286" s="208"/>
      <c r="UDB286" s="208"/>
      <c r="UDC286" s="208"/>
      <c r="UDD286" s="208"/>
      <c r="UDE286" s="208"/>
      <c r="UDF286" s="208"/>
      <c r="UDG286" s="208"/>
      <c r="UDH286" s="208"/>
      <c r="UDI286" s="208"/>
      <c r="UDJ286" s="208"/>
      <c r="UDK286" s="208"/>
      <c r="UDL286" s="208"/>
      <c r="UDM286" s="208"/>
      <c r="UDN286" s="208"/>
      <c r="UDO286" s="208"/>
      <c r="UDP286" s="208"/>
      <c r="UDQ286" s="208"/>
      <c r="UDR286" s="208"/>
      <c r="UDS286" s="208"/>
      <c r="UDT286" s="208"/>
      <c r="UDU286" s="208"/>
      <c r="UDV286" s="208"/>
      <c r="UDW286" s="208"/>
      <c r="UDX286" s="208"/>
      <c r="UDY286" s="208"/>
      <c r="UDZ286" s="208"/>
      <c r="UEA286" s="208"/>
      <c r="UEB286" s="208"/>
      <c r="UEC286" s="208"/>
      <c r="UED286" s="208"/>
      <c r="UEE286" s="208"/>
      <c r="UEF286" s="208"/>
      <c r="UEG286" s="208"/>
      <c r="UEH286" s="208"/>
      <c r="UEI286" s="208"/>
      <c r="UEJ286" s="208"/>
      <c r="UEK286" s="208"/>
      <c r="UEL286" s="208"/>
      <c r="UEM286" s="208"/>
      <c r="UEN286" s="208"/>
      <c r="UEO286" s="208"/>
      <c r="UEP286" s="208"/>
      <c r="UEQ286" s="208"/>
      <c r="UER286" s="208"/>
      <c r="UES286" s="208"/>
      <c r="UET286" s="208"/>
      <c r="UEU286" s="208"/>
      <c r="UEV286" s="208"/>
      <c r="UEW286" s="208"/>
      <c r="UEX286" s="208"/>
      <c r="UEY286" s="208"/>
      <c r="UEZ286" s="208"/>
      <c r="UFA286" s="208"/>
      <c r="UFB286" s="208"/>
      <c r="UFC286" s="208"/>
      <c r="UFD286" s="208"/>
      <c r="UFE286" s="208"/>
      <c r="UFF286" s="208"/>
      <c r="UFG286" s="208"/>
      <c r="UFH286" s="208"/>
      <c r="UFI286" s="208"/>
      <c r="UFJ286" s="208"/>
      <c r="UFK286" s="208"/>
      <c r="UFL286" s="208"/>
      <c r="UFM286" s="208"/>
      <c r="UFN286" s="208"/>
      <c r="UFO286" s="208"/>
      <c r="UFP286" s="208"/>
      <c r="UFQ286" s="208"/>
      <c r="UFR286" s="208"/>
      <c r="UFS286" s="208"/>
      <c r="UFT286" s="208"/>
      <c r="UFU286" s="208"/>
      <c r="UFV286" s="208"/>
      <c r="UFW286" s="208"/>
      <c r="UFX286" s="208"/>
      <c r="UFY286" s="208"/>
      <c r="UFZ286" s="208"/>
      <c r="UGA286" s="208"/>
      <c r="UGB286" s="208"/>
      <c r="UGC286" s="208"/>
      <c r="UGD286" s="208"/>
      <c r="UGE286" s="208"/>
      <c r="UGF286" s="208"/>
      <c r="UGG286" s="208"/>
      <c r="UGH286" s="208"/>
      <c r="UGI286" s="208"/>
      <c r="UGJ286" s="208"/>
      <c r="UGK286" s="208"/>
      <c r="UGL286" s="208"/>
      <c r="UGM286" s="208"/>
      <c r="UGN286" s="208"/>
      <c r="UGO286" s="208"/>
      <c r="UGP286" s="208"/>
      <c r="UGQ286" s="208"/>
      <c r="UGR286" s="208"/>
      <c r="UGS286" s="208"/>
      <c r="UGT286" s="208"/>
      <c r="UGU286" s="208"/>
      <c r="UGV286" s="208"/>
      <c r="UGW286" s="208"/>
      <c r="UGX286" s="208"/>
      <c r="UGY286" s="208"/>
      <c r="UGZ286" s="208"/>
      <c r="UHA286" s="208"/>
      <c r="UHB286" s="208"/>
      <c r="UHC286" s="208"/>
      <c r="UHD286" s="208"/>
      <c r="UHE286" s="208"/>
      <c r="UHF286" s="208"/>
      <c r="UHG286" s="208"/>
      <c r="UHH286" s="208"/>
      <c r="UHI286" s="208"/>
      <c r="UHJ286" s="208"/>
      <c r="UHK286" s="208"/>
      <c r="UHL286" s="208"/>
      <c r="UHM286" s="208"/>
      <c r="UHN286" s="208"/>
      <c r="UHO286" s="208"/>
      <c r="UHP286" s="208"/>
      <c r="UHQ286" s="208"/>
      <c r="UHR286" s="208"/>
      <c r="UHS286" s="208"/>
      <c r="UHT286" s="208"/>
      <c r="UHU286" s="208"/>
      <c r="UHV286" s="208"/>
      <c r="UHW286" s="208"/>
      <c r="UHX286" s="208"/>
      <c r="UHY286" s="208"/>
      <c r="UHZ286" s="208"/>
      <c r="UIA286" s="208"/>
      <c r="UIB286" s="208"/>
      <c r="UIC286" s="208"/>
      <c r="UID286" s="208"/>
      <c r="UIE286" s="208"/>
      <c r="UIF286" s="208"/>
      <c r="UIG286" s="208"/>
      <c r="UIH286" s="208"/>
      <c r="UII286" s="208"/>
      <c r="UIJ286" s="208"/>
      <c r="UIK286" s="208"/>
      <c r="UIL286" s="208"/>
      <c r="UIM286" s="208"/>
      <c r="UIN286" s="208"/>
      <c r="UIO286" s="208"/>
      <c r="UIP286" s="208"/>
      <c r="UIQ286" s="208"/>
      <c r="UIR286" s="208"/>
      <c r="UIS286" s="208"/>
      <c r="UIT286" s="208"/>
      <c r="UIU286" s="208"/>
      <c r="UIV286" s="208"/>
      <c r="UIW286" s="208"/>
      <c r="UIX286" s="208"/>
      <c r="UIY286" s="208"/>
      <c r="UIZ286" s="208"/>
      <c r="UJA286" s="208"/>
      <c r="UJB286" s="208"/>
      <c r="UJC286" s="208"/>
      <c r="UJD286" s="208"/>
      <c r="UJE286" s="208"/>
      <c r="UJF286" s="208"/>
      <c r="UJG286" s="208"/>
      <c r="UJH286" s="208"/>
      <c r="UJI286" s="208"/>
      <c r="UJJ286" s="208"/>
      <c r="UJK286" s="208"/>
      <c r="UJL286" s="208"/>
      <c r="UJM286" s="208"/>
      <c r="UJN286" s="208"/>
      <c r="UJO286" s="208"/>
      <c r="UJP286" s="208"/>
      <c r="UJQ286" s="208"/>
      <c r="UJR286" s="208"/>
      <c r="UJS286" s="208"/>
      <c r="UJT286" s="208"/>
      <c r="UJU286" s="208"/>
      <c r="UJV286" s="208"/>
      <c r="UJW286" s="208"/>
      <c r="UJX286" s="208"/>
      <c r="UJY286" s="208"/>
      <c r="UJZ286" s="208"/>
      <c r="UKA286" s="208"/>
      <c r="UKB286" s="208"/>
      <c r="UKC286" s="208"/>
      <c r="UKD286" s="208"/>
      <c r="UKE286" s="208"/>
      <c r="UKF286" s="208"/>
      <c r="UKG286" s="208"/>
      <c r="UKH286" s="208"/>
      <c r="UKI286" s="208"/>
      <c r="UKJ286" s="208"/>
      <c r="UKK286" s="208"/>
      <c r="UKL286" s="208"/>
      <c r="UKM286" s="208"/>
      <c r="UKN286" s="208"/>
      <c r="UKO286" s="208"/>
      <c r="UKP286" s="208"/>
      <c r="UKQ286" s="208"/>
      <c r="UKR286" s="208"/>
      <c r="UKS286" s="208"/>
      <c r="UKT286" s="208"/>
      <c r="UKU286" s="208"/>
      <c r="UKV286" s="208"/>
      <c r="UKW286" s="208"/>
      <c r="UKX286" s="208"/>
      <c r="UKY286" s="208"/>
      <c r="UKZ286" s="208"/>
      <c r="ULA286" s="208"/>
      <c r="ULB286" s="208"/>
      <c r="ULC286" s="208"/>
      <c r="ULD286" s="208"/>
      <c r="ULE286" s="208"/>
      <c r="ULF286" s="208"/>
      <c r="ULG286" s="208"/>
      <c r="ULH286" s="208"/>
      <c r="ULI286" s="208"/>
      <c r="ULJ286" s="208"/>
      <c r="ULK286" s="208"/>
      <c r="ULL286" s="208"/>
      <c r="ULM286" s="208"/>
      <c r="ULN286" s="208"/>
      <c r="ULO286" s="208"/>
      <c r="ULP286" s="208"/>
      <c r="ULQ286" s="208"/>
      <c r="ULR286" s="208"/>
      <c r="ULS286" s="208"/>
      <c r="ULT286" s="208"/>
      <c r="ULU286" s="208"/>
      <c r="ULV286" s="208"/>
      <c r="ULW286" s="208"/>
      <c r="ULX286" s="208"/>
      <c r="ULY286" s="208"/>
      <c r="ULZ286" s="208"/>
      <c r="UMA286" s="208"/>
      <c r="UMB286" s="208"/>
      <c r="UMC286" s="208"/>
      <c r="UMD286" s="208"/>
      <c r="UME286" s="208"/>
      <c r="UMF286" s="208"/>
      <c r="UMG286" s="208"/>
      <c r="UMH286" s="208"/>
      <c r="UMI286" s="208"/>
      <c r="UMJ286" s="208"/>
      <c r="UMK286" s="208"/>
      <c r="UML286" s="208"/>
      <c r="UMM286" s="208"/>
      <c r="UMN286" s="208"/>
      <c r="UMO286" s="208"/>
      <c r="UMP286" s="208"/>
      <c r="UMQ286" s="208"/>
      <c r="UMR286" s="208"/>
      <c r="UMS286" s="208"/>
      <c r="UMT286" s="208"/>
      <c r="UMU286" s="208"/>
      <c r="UMV286" s="208"/>
      <c r="UMW286" s="208"/>
      <c r="UMX286" s="208"/>
      <c r="UMY286" s="208"/>
      <c r="UMZ286" s="208"/>
      <c r="UNA286" s="208"/>
      <c r="UNB286" s="208"/>
      <c r="UNC286" s="208"/>
      <c r="UND286" s="208"/>
      <c r="UNE286" s="208"/>
      <c r="UNF286" s="208"/>
      <c r="UNG286" s="208"/>
      <c r="UNH286" s="208"/>
      <c r="UNI286" s="208"/>
      <c r="UNJ286" s="208"/>
      <c r="UNK286" s="208"/>
      <c r="UNL286" s="208"/>
      <c r="UNM286" s="208"/>
      <c r="UNN286" s="208"/>
      <c r="UNO286" s="208"/>
      <c r="UNP286" s="208"/>
      <c r="UNQ286" s="208"/>
      <c r="UNR286" s="208"/>
      <c r="UNS286" s="208"/>
      <c r="UNT286" s="208"/>
      <c r="UNU286" s="208"/>
      <c r="UNV286" s="208"/>
      <c r="UNW286" s="208"/>
      <c r="UNX286" s="208"/>
      <c r="UNY286" s="208"/>
      <c r="UNZ286" s="208"/>
      <c r="UOA286" s="208"/>
      <c r="UOB286" s="208"/>
      <c r="UOC286" s="208"/>
      <c r="UOD286" s="208"/>
      <c r="UOE286" s="208"/>
      <c r="UOF286" s="208"/>
      <c r="UOG286" s="208"/>
      <c r="UOH286" s="208"/>
      <c r="UOI286" s="208"/>
      <c r="UOJ286" s="208"/>
      <c r="UOK286" s="208"/>
      <c r="UOL286" s="208"/>
      <c r="UOM286" s="208"/>
      <c r="UON286" s="208"/>
      <c r="UOO286" s="208"/>
      <c r="UOP286" s="208"/>
      <c r="UOQ286" s="208"/>
      <c r="UOR286" s="208"/>
      <c r="UOS286" s="208"/>
      <c r="UOT286" s="208"/>
      <c r="UOU286" s="208"/>
      <c r="UOV286" s="208"/>
      <c r="UOW286" s="208"/>
      <c r="UOX286" s="208"/>
      <c r="UOY286" s="208"/>
      <c r="UOZ286" s="208"/>
      <c r="UPA286" s="208"/>
      <c r="UPB286" s="208"/>
      <c r="UPC286" s="208"/>
      <c r="UPD286" s="208"/>
      <c r="UPE286" s="208"/>
      <c r="UPF286" s="208"/>
      <c r="UPG286" s="208"/>
      <c r="UPH286" s="208"/>
      <c r="UPI286" s="208"/>
      <c r="UPJ286" s="208"/>
      <c r="UPK286" s="208"/>
      <c r="UPL286" s="208"/>
      <c r="UPM286" s="208"/>
      <c r="UPN286" s="208"/>
      <c r="UPO286" s="208"/>
      <c r="UPP286" s="208"/>
      <c r="UPQ286" s="208"/>
      <c r="UPR286" s="208"/>
      <c r="UPS286" s="208"/>
      <c r="UPT286" s="208"/>
      <c r="UPU286" s="208"/>
      <c r="UPV286" s="208"/>
      <c r="UPW286" s="208"/>
      <c r="UPX286" s="208"/>
      <c r="UPY286" s="208"/>
      <c r="UPZ286" s="208"/>
      <c r="UQA286" s="208"/>
      <c r="UQB286" s="208"/>
      <c r="UQC286" s="208"/>
      <c r="UQD286" s="208"/>
      <c r="UQE286" s="208"/>
      <c r="UQF286" s="208"/>
      <c r="UQG286" s="208"/>
      <c r="UQH286" s="208"/>
      <c r="UQI286" s="208"/>
      <c r="UQJ286" s="208"/>
      <c r="UQK286" s="208"/>
      <c r="UQL286" s="208"/>
      <c r="UQM286" s="208"/>
      <c r="UQN286" s="208"/>
      <c r="UQO286" s="208"/>
      <c r="UQP286" s="208"/>
      <c r="UQQ286" s="208"/>
      <c r="UQR286" s="208"/>
      <c r="UQS286" s="208"/>
      <c r="UQT286" s="208"/>
      <c r="UQU286" s="208"/>
      <c r="UQV286" s="208"/>
      <c r="UQW286" s="208"/>
      <c r="UQX286" s="208"/>
      <c r="UQY286" s="208"/>
      <c r="UQZ286" s="208"/>
      <c r="URA286" s="208"/>
      <c r="URB286" s="208"/>
      <c r="URC286" s="208"/>
      <c r="URD286" s="208"/>
      <c r="URE286" s="208"/>
      <c r="URF286" s="208"/>
      <c r="URG286" s="208"/>
      <c r="URH286" s="208"/>
      <c r="URI286" s="208"/>
      <c r="URJ286" s="208"/>
      <c r="URK286" s="208"/>
      <c r="URL286" s="208"/>
      <c r="URM286" s="208"/>
      <c r="URN286" s="208"/>
      <c r="URO286" s="208"/>
      <c r="URP286" s="208"/>
      <c r="URQ286" s="208"/>
      <c r="URR286" s="208"/>
      <c r="URS286" s="208"/>
      <c r="URT286" s="208"/>
      <c r="URU286" s="208"/>
      <c r="URV286" s="208"/>
      <c r="URW286" s="208"/>
      <c r="URX286" s="208"/>
      <c r="URY286" s="208"/>
      <c r="URZ286" s="208"/>
      <c r="USA286" s="208"/>
      <c r="USB286" s="208"/>
      <c r="USC286" s="208"/>
      <c r="USD286" s="208"/>
      <c r="USE286" s="208"/>
      <c r="USF286" s="208"/>
      <c r="USG286" s="208"/>
      <c r="USH286" s="208"/>
      <c r="USI286" s="208"/>
      <c r="USJ286" s="208"/>
      <c r="USK286" s="208"/>
      <c r="USL286" s="208"/>
      <c r="USM286" s="208"/>
      <c r="USN286" s="208"/>
      <c r="USO286" s="208"/>
      <c r="USP286" s="208"/>
      <c r="USQ286" s="208"/>
      <c r="USR286" s="208"/>
      <c r="USS286" s="208"/>
      <c r="UST286" s="208"/>
      <c r="USU286" s="208"/>
      <c r="USV286" s="208"/>
      <c r="USW286" s="208"/>
      <c r="USX286" s="208"/>
      <c r="USY286" s="208"/>
      <c r="USZ286" s="208"/>
      <c r="UTA286" s="208"/>
      <c r="UTB286" s="208"/>
      <c r="UTC286" s="208"/>
      <c r="UTD286" s="208"/>
      <c r="UTE286" s="208"/>
      <c r="UTF286" s="208"/>
      <c r="UTG286" s="208"/>
      <c r="UTH286" s="208"/>
      <c r="UTI286" s="208"/>
      <c r="UTJ286" s="208"/>
      <c r="UTK286" s="208"/>
      <c r="UTL286" s="208"/>
      <c r="UTM286" s="208"/>
      <c r="UTN286" s="208"/>
      <c r="UTO286" s="208"/>
      <c r="UTP286" s="208"/>
      <c r="UTQ286" s="208"/>
      <c r="UTR286" s="208"/>
      <c r="UTS286" s="208"/>
      <c r="UTT286" s="208"/>
      <c r="UTU286" s="208"/>
      <c r="UTV286" s="208"/>
      <c r="UTW286" s="208"/>
      <c r="UTX286" s="208"/>
      <c r="UTY286" s="208"/>
      <c r="UTZ286" s="208"/>
      <c r="UUA286" s="208"/>
      <c r="UUB286" s="208"/>
      <c r="UUC286" s="208"/>
      <c r="UUD286" s="208"/>
      <c r="UUE286" s="208"/>
      <c r="UUF286" s="208"/>
      <c r="UUG286" s="208"/>
      <c r="UUH286" s="208"/>
      <c r="UUI286" s="208"/>
      <c r="UUJ286" s="208"/>
      <c r="UUK286" s="208"/>
      <c r="UUL286" s="208"/>
      <c r="UUM286" s="208"/>
      <c r="UUN286" s="208"/>
      <c r="UUO286" s="208"/>
      <c r="UUP286" s="208"/>
      <c r="UUQ286" s="208"/>
      <c r="UUR286" s="208"/>
      <c r="UUS286" s="208"/>
      <c r="UUT286" s="208"/>
      <c r="UUU286" s="208"/>
      <c r="UUV286" s="208"/>
      <c r="UUW286" s="208"/>
      <c r="UUX286" s="208"/>
      <c r="UUY286" s="208"/>
      <c r="UUZ286" s="208"/>
      <c r="UVA286" s="208"/>
      <c r="UVB286" s="208"/>
      <c r="UVC286" s="208"/>
      <c r="UVD286" s="208"/>
      <c r="UVE286" s="208"/>
      <c r="UVF286" s="208"/>
      <c r="UVG286" s="208"/>
      <c r="UVH286" s="208"/>
      <c r="UVI286" s="208"/>
      <c r="UVJ286" s="208"/>
      <c r="UVK286" s="208"/>
      <c r="UVL286" s="208"/>
      <c r="UVM286" s="208"/>
      <c r="UVN286" s="208"/>
      <c r="UVO286" s="208"/>
      <c r="UVP286" s="208"/>
      <c r="UVQ286" s="208"/>
      <c r="UVR286" s="208"/>
      <c r="UVS286" s="208"/>
      <c r="UVT286" s="208"/>
      <c r="UVU286" s="208"/>
      <c r="UVV286" s="208"/>
      <c r="UVW286" s="208"/>
      <c r="UVX286" s="208"/>
      <c r="UVY286" s="208"/>
      <c r="UVZ286" s="208"/>
      <c r="UWA286" s="208"/>
      <c r="UWB286" s="208"/>
      <c r="UWC286" s="208"/>
      <c r="UWD286" s="208"/>
      <c r="UWE286" s="208"/>
      <c r="UWF286" s="208"/>
      <c r="UWG286" s="208"/>
      <c r="UWH286" s="208"/>
      <c r="UWI286" s="208"/>
      <c r="UWJ286" s="208"/>
      <c r="UWK286" s="208"/>
      <c r="UWL286" s="208"/>
      <c r="UWM286" s="208"/>
      <c r="UWN286" s="208"/>
      <c r="UWO286" s="208"/>
      <c r="UWP286" s="208"/>
      <c r="UWQ286" s="208"/>
      <c r="UWR286" s="208"/>
      <c r="UWS286" s="208"/>
      <c r="UWT286" s="208"/>
      <c r="UWU286" s="208"/>
      <c r="UWV286" s="208"/>
      <c r="UWW286" s="208"/>
      <c r="UWX286" s="208"/>
      <c r="UWY286" s="208"/>
      <c r="UWZ286" s="208"/>
      <c r="UXA286" s="208"/>
      <c r="UXB286" s="208"/>
      <c r="UXC286" s="208"/>
      <c r="UXD286" s="208"/>
      <c r="UXE286" s="208"/>
      <c r="UXF286" s="208"/>
      <c r="UXG286" s="208"/>
      <c r="UXH286" s="208"/>
      <c r="UXI286" s="208"/>
      <c r="UXJ286" s="208"/>
      <c r="UXK286" s="208"/>
      <c r="UXL286" s="208"/>
      <c r="UXM286" s="208"/>
      <c r="UXN286" s="208"/>
      <c r="UXO286" s="208"/>
      <c r="UXP286" s="208"/>
      <c r="UXQ286" s="208"/>
      <c r="UXR286" s="208"/>
      <c r="UXS286" s="208"/>
      <c r="UXT286" s="208"/>
      <c r="UXU286" s="208"/>
      <c r="UXV286" s="208"/>
      <c r="UXW286" s="208"/>
      <c r="UXX286" s="208"/>
      <c r="UXY286" s="208"/>
      <c r="UXZ286" s="208"/>
      <c r="UYA286" s="208"/>
      <c r="UYB286" s="208"/>
      <c r="UYC286" s="208"/>
      <c r="UYD286" s="208"/>
      <c r="UYE286" s="208"/>
      <c r="UYF286" s="208"/>
      <c r="UYG286" s="208"/>
      <c r="UYH286" s="208"/>
      <c r="UYI286" s="208"/>
      <c r="UYJ286" s="208"/>
      <c r="UYK286" s="208"/>
      <c r="UYL286" s="208"/>
      <c r="UYM286" s="208"/>
      <c r="UYN286" s="208"/>
      <c r="UYO286" s="208"/>
      <c r="UYP286" s="208"/>
      <c r="UYQ286" s="208"/>
      <c r="UYR286" s="208"/>
      <c r="UYS286" s="208"/>
      <c r="UYT286" s="208"/>
      <c r="UYU286" s="208"/>
      <c r="UYV286" s="208"/>
      <c r="UYW286" s="208"/>
      <c r="UYX286" s="208"/>
      <c r="UYY286" s="208"/>
      <c r="UYZ286" s="208"/>
      <c r="UZA286" s="208"/>
      <c r="UZB286" s="208"/>
      <c r="UZC286" s="208"/>
      <c r="UZD286" s="208"/>
      <c r="UZE286" s="208"/>
      <c r="UZF286" s="208"/>
      <c r="UZG286" s="208"/>
      <c r="UZH286" s="208"/>
      <c r="UZI286" s="208"/>
      <c r="UZJ286" s="208"/>
      <c r="UZK286" s="208"/>
      <c r="UZL286" s="208"/>
      <c r="UZM286" s="208"/>
      <c r="UZN286" s="208"/>
      <c r="UZO286" s="208"/>
      <c r="UZP286" s="208"/>
      <c r="UZQ286" s="208"/>
      <c r="UZR286" s="208"/>
      <c r="UZS286" s="208"/>
      <c r="UZT286" s="208"/>
      <c r="UZU286" s="208"/>
      <c r="UZV286" s="208"/>
      <c r="UZW286" s="208"/>
      <c r="UZX286" s="208"/>
      <c r="UZY286" s="208"/>
      <c r="UZZ286" s="208"/>
      <c r="VAA286" s="208"/>
      <c r="VAB286" s="208"/>
      <c r="VAC286" s="208"/>
      <c r="VAD286" s="208"/>
      <c r="VAE286" s="208"/>
      <c r="VAF286" s="208"/>
      <c r="VAG286" s="208"/>
      <c r="VAH286" s="208"/>
      <c r="VAI286" s="208"/>
      <c r="VAJ286" s="208"/>
      <c r="VAK286" s="208"/>
      <c r="VAL286" s="208"/>
      <c r="VAM286" s="208"/>
      <c r="VAN286" s="208"/>
      <c r="VAO286" s="208"/>
      <c r="VAP286" s="208"/>
      <c r="VAQ286" s="208"/>
      <c r="VAR286" s="208"/>
      <c r="VAS286" s="208"/>
      <c r="VAT286" s="208"/>
      <c r="VAU286" s="208"/>
      <c r="VAV286" s="208"/>
      <c r="VAW286" s="208"/>
      <c r="VAX286" s="208"/>
      <c r="VAY286" s="208"/>
      <c r="VAZ286" s="208"/>
      <c r="VBA286" s="208"/>
      <c r="VBB286" s="208"/>
      <c r="VBC286" s="208"/>
      <c r="VBD286" s="208"/>
      <c r="VBE286" s="208"/>
      <c r="VBF286" s="208"/>
      <c r="VBG286" s="208"/>
      <c r="VBH286" s="208"/>
      <c r="VBI286" s="208"/>
      <c r="VBJ286" s="208"/>
      <c r="VBK286" s="208"/>
      <c r="VBL286" s="208"/>
      <c r="VBM286" s="208"/>
      <c r="VBN286" s="208"/>
      <c r="VBO286" s="208"/>
      <c r="VBP286" s="208"/>
      <c r="VBQ286" s="208"/>
      <c r="VBR286" s="208"/>
      <c r="VBS286" s="208"/>
      <c r="VBT286" s="208"/>
      <c r="VBU286" s="208"/>
      <c r="VBV286" s="208"/>
      <c r="VBW286" s="208"/>
      <c r="VBX286" s="208"/>
      <c r="VBY286" s="208"/>
      <c r="VBZ286" s="208"/>
      <c r="VCA286" s="208"/>
      <c r="VCB286" s="208"/>
      <c r="VCC286" s="208"/>
      <c r="VCD286" s="208"/>
      <c r="VCE286" s="208"/>
      <c r="VCF286" s="208"/>
      <c r="VCG286" s="208"/>
      <c r="VCH286" s="208"/>
      <c r="VCI286" s="208"/>
      <c r="VCJ286" s="208"/>
      <c r="VCK286" s="208"/>
      <c r="VCL286" s="208"/>
      <c r="VCM286" s="208"/>
      <c r="VCN286" s="208"/>
      <c r="VCO286" s="208"/>
      <c r="VCP286" s="208"/>
      <c r="VCQ286" s="208"/>
      <c r="VCR286" s="208"/>
      <c r="VCS286" s="208"/>
      <c r="VCT286" s="208"/>
      <c r="VCU286" s="208"/>
      <c r="VCV286" s="208"/>
      <c r="VCW286" s="208"/>
      <c r="VCX286" s="208"/>
      <c r="VCY286" s="208"/>
      <c r="VCZ286" s="208"/>
      <c r="VDA286" s="208"/>
      <c r="VDB286" s="208"/>
      <c r="VDC286" s="208"/>
      <c r="VDD286" s="208"/>
      <c r="VDE286" s="208"/>
      <c r="VDF286" s="208"/>
      <c r="VDG286" s="208"/>
      <c r="VDH286" s="208"/>
      <c r="VDI286" s="208"/>
      <c r="VDJ286" s="208"/>
      <c r="VDK286" s="208"/>
      <c r="VDL286" s="208"/>
      <c r="VDM286" s="208"/>
      <c r="VDN286" s="208"/>
      <c r="VDO286" s="208"/>
      <c r="VDP286" s="208"/>
      <c r="VDQ286" s="208"/>
      <c r="VDR286" s="208"/>
      <c r="VDS286" s="208"/>
      <c r="VDT286" s="208"/>
      <c r="VDU286" s="208"/>
      <c r="VDV286" s="208"/>
      <c r="VDW286" s="208"/>
      <c r="VDX286" s="208"/>
      <c r="VDY286" s="208"/>
      <c r="VDZ286" s="208"/>
      <c r="VEA286" s="208"/>
      <c r="VEB286" s="208"/>
      <c r="VEC286" s="208"/>
      <c r="VED286" s="208"/>
      <c r="VEE286" s="208"/>
      <c r="VEF286" s="208"/>
      <c r="VEG286" s="208"/>
      <c r="VEH286" s="208"/>
      <c r="VEI286" s="208"/>
      <c r="VEJ286" s="208"/>
      <c r="VEK286" s="208"/>
      <c r="VEL286" s="208"/>
      <c r="VEM286" s="208"/>
      <c r="VEN286" s="208"/>
      <c r="VEO286" s="208"/>
      <c r="VEP286" s="208"/>
      <c r="VEQ286" s="208"/>
      <c r="VER286" s="208"/>
      <c r="VES286" s="208"/>
      <c r="VET286" s="208"/>
      <c r="VEU286" s="208"/>
      <c r="VEV286" s="208"/>
      <c r="VEW286" s="208"/>
      <c r="VEX286" s="208"/>
      <c r="VEY286" s="208"/>
      <c r="VEZ286" s="208"/>
      <c r="VFA286" s="208"/>
      <c r="VFB286" s="208"/>
      <c r="VFC286" s="208"/>
      <c r="VFD286" s="208"/>
      <c r="VFE286" s="208"/>
      <c r="VFF286" s="208"/>
      <c r="VFG286" s="208"/>
      <c r="VFH286" s="208"/>
      <c r="VFI286" s="208"/>
      <c r="VFJ286" s="208"/>
      <c r="VFK286" s="208"/>
      <c r="VFL286" s="208"/>
      <c r="VFM286" s="208"/>
      <c r="VFN286" s="208"/>
      <c r="VFO286" s="208"/>
      <c r="VFP286" s="208"/>
      <c r="VFQ286" s="208"/>
      <c r="VFR286" s="208"/>
      <c r="VFS286" s="208"/>
      <c r="VFT286" s="208"/>
      <c r="VFU286" s="208"/>
      <c r="VFV286" s="208"/>
      <c r="VFW286" s="208"/>
      <c r="VFX286" s="208"/>
      <c r="VFY286" s="208"/>
      <c r="VFZ286" s="208"/>
      <c r="VGA286" s="208"/>
      <c r="VGB286" s="208"/>
      <c r="VGC286" s="208"/>
      <c r="VGD286" s="208"/>
      <c r="VGE286" s="208"/>
      <c r="VGF286" s="208"/>
      <c r="VGG286" s="208"/>
      <c r="VGH286" s="208"/>
      <c r="VGI286" s="208"/>
      <c r="VGJ286" s="208"/>
      <c r="VGK286" s="208"/>
      <c r="VGL286" s="208"/>
      <c r="VGM286" s="208"/>
      <c r="VGN286" s="208"/>
      <c r="VGO286" s="208"/>
      <c r="VGP286" s="208"/>
      <c r="VGQ286" s="208"/>
      <c r="VGR286" s="208"/>
      <c r="VGS286" s="208"/>
      <c r="VGT286" s="208"/>
      <c r="VGU286" s="208"/>
      <c r="VGV286" s="208"/>
      <c r="VGW286" s="208"/>
      <c r="VGX286" s="208"/>
      <c r="VGY286" s="208"/>
      <c r="VGZ286" s="208"/>
      <c r="VHA286" s="208"/>
      <c r="VHB286" s="208"/>
      <c r="VHC286" s="208"/>
      <c r="VHD286" s="208"/>
      <c r="VHE286" s="208"/>
      <c r="VHF286" s="208"/>
      <c r="VHG286" s="208"/>
      <c r="VHH286" s="208"/>
      <c r="VHI286" s="208"/>
      <c r="VHJ286" s="208"/>
      <c r="VHK286" s="208"/>
      <c r="VHL286" s="208"/>
      <c r="VHM286" s="208"/>
      <c r="VHN286" s="208"/>
      <c r="VHO286" s="208"/>
      <c r="VHP286" s="208"/>
      <c r="VHQ286" s="208"/>
      <c r="VHR286" s="208"/>
      <c r="VHS286" s="208"/>
      <c r="VHT286" s="208"/>
      <c r="VHU286" s="208"/>
      <c r="VHV286" s="208"/>
      <c r="VHW286" s="208"/>
      <c r="VHX286" s="208"/>
      <c r="VHY286" s="208"/>
      <c r="VHZ286" s="208"/>
      <c r="VIA286" s="208"/>
      <c r="VIB286" s="208"/>
      <c r="VIC286" s="208"/>
      <c r="VID286" s="208"/>
      <c r="VIE286" s="208"/>
      <c r="VIF286" s="208"/>
      <c r="VIG286" s="208"/>
      <c r="VIH286" s="208"/>
      <c r="VII286" s="208"/>
      <c r="VIJ286" s="208"/>
      <c r="VIK286" s="208"/>
      <c r="VIL286" s="208"/>
      <c r="VIM286" s="208"/>
      <c r="VIN286" s="208"/>
      <c r="VIO286" s="208"/>
      <c r="VIP286" s="208"/>
      <c r="VIQ286" s="208"/>
      <c r="VIR286" s="208"/>
      <c r="VIS286" s="208"/>
      <c r="VIT286" s="208"/>
      <c r="VIU286" s="208"/>
      <c r="VIV286" s="208"/>
      <c r="VIW286" s="208"/>
      <c r="VIX286" s="208"/>
      <c r="VIY286" s="208"/>
      <c r="VIZ286" s="208"/>
      <c r="VJA286" s="208"/>
      <c r="VJB286" s="208"/>
      <c r="VJC286" s="208"/>
      <c r="VJD286" s="208"/>
      <c r="VJE286" s="208"/>
      <c r="VJF286" s="208"/>
      <c r="VJG286" s="208"/>
      <c r="VJH286" s="208"/>
      <c r="VJI286" s="208"/>
      <c r="VJJ286" s="208"/>
      <c r="VJK286" s="208"/>
      <c r="VJL286" s="208"/>
      <c r="VJM286" s="208"/>
      <c r="VJN286" s="208"/>
      <c r="VJO286" s="208"/>
      <c r="VJP286" s="208"/>
      <c r="VJQ286" s="208"/>
      <c r="VJR286" s="208"/>
      <c r="VJS286" s="208"/>
      <c r="VJT286" s="208"/>
      <c r="VJU286" s="208"/>
      <c r="VJV286" s="208"/>
      <c r="VJW286" s="208"/>
      <c r="VJX286" s="208"/>
      <c r="VJY286" s="208"/>
      <c r="VJZ286" s="208"/>
      <c r="VKA286" s="208"/>
      <c r="VKB286" s="208"/>
      <c r="VKC286" s="208"/>
      <c r="VKD286" s="208"/>
      <c r="VKE286" s="208"/>
      <c r="VKF286" s="208"/>
      <c r="VKG286" s="208"/>
      <c r="VKH286" s="208"/>
      <c r="VKI286" s="208"/>
      <c r="VKJ286" s="208"/>
      <c r="VKK286" s="208"/>
      <c r="VKL286" s="208"/>
      <c r="VKM286" s="208"/>
      <c r="VKN286" s="208"/>
      <c r="VKO286" s="208"/>
      <c r="VKP286" s="208"/>
      <c r="VKQ286" s="208"/>
      <c r="VKR286" s="208"/>
      <c r="VKS286" s="208"/>
      <c r="VKT286" s="208"/>
      <c r="VKU286" s="208"/>
      <c r="VKV286" s="208"/>
      <c r="VKW286" s="208"/>
      <c r="VKX286" s="208"/>
      <c r="VKY286" s="208"/>
      <c r="VKZ286" s="208"/>
      <c r="VLA286" s="208"/>
      <c r="VLB286" s="208"/>
      <c r="VLC286" s="208"/>
      <c r="VLD286" s="208"/>
      <c r="VLE286" s="208"/>
      <c r="VLF286" s="208"/>
      <c r="VLG286" s="208"/>
      <c r="VLH286" s="208"/>
      <c r="VLI286" s="208"/>
      <c r="VLJ286" s="208"/>
      <c r="VLK286" s="208"/>
      <c r="VLL286" s="208"/>
      <c r="VLM286" s="208"/>
      <c r="VLN286" s="208"/>
      <c r="VLO286" s="208"/>
      <c r="VLP286" s="208"/>
      <c r="VLQ286" s="208"/>
      <c r="VLR286" s="208"/>
      <c r="VLS286" s="208"/>
      <c r="VLT286" s="208"/>
      <c r="VLU286" s="208"/>
      <c r="VLV286" s="208"/>
      <c r="VLW286" s="208"/>
      <c r="VLX286" s="208"/>
      <c r="VLY286" s="208"/>
      <c r="VLZ286" s="208"/>
      <c r="VMA286" s="208"/>
      <c r="VMB286" s="208"/>
      <c r="VMC286" s="208"/>
      <c r="VMD286" s="208"/>
      <c r="VME286" s="208"/>
      <c r="VMF286" s="208"/>
      <c r="VMG286" s="208"/>
      <c r="VMH286" s="208"/>
      <c r="VMI286" s="208"/>
      <c r="VMJ286" s="208"/>
      <c r="VMK286" s="208"/>
      <c r="VML286" s="208"/>
      <c r="VMM286" s="208"/>
      <c r="VMN286" s="208"/>
      <c r="VMO286" s="208"/>
      <c r="VMP286" s="208"/>
      <c r="VMQ286" s="208"/>
      <c r="VMR286" s="208"/>
      <c r="VMS286" s="208"/>
      <c r="VMT286" s="208"/>
      <c r="VMU286" s="208"/>
      <c r="VMV286" s="208"/>
      <c r="VMW286" s="208"/>
      <c r="VMX286" s="208"/>
      <c r="VMY286" s="208"/>
      <c r="VMZ286" s="208"/>
      <c r="VNA286" s="208"/>
      <c r="VNB286" s="208"/>
      <c r="VNC286" s="208"/>
      <c r="VND286" s="208"/>
      <c r="VNE286" s="208"/>
      <c r="VNF286" s="208"/>
      <c r="VNG286" s="208"/>
      <c r="VNH286" s="208"/>
      <c r="VNI286" s="208"/>
      <c r="VNJ286" s="208"/>
      <c r="VNK286" s="208"/>
      <c r="VNL286" s="208"/>
      <c r="VNM286" s="208"/>
      <c r="VNN286" s="208"/>
      <c r="VNO286" s="208"/>
      <c r="VNP286" s="208"/>
      <c r="VNQ286" s="208"/>
      <c r="VNR286" s="208"/>
      <c r="VNS286" s="208"/>
      <c r="VNT286" s="208"/>
      <c r="VNU286" s="208"/>
      <c r="VNV286" s="208"/>
      <c r="VNW286" s="208"/>
      <c r="VNX286" s="208"/>
      <c r="VNY286" s="208"/>
      <c r="VNZ286" s="208"/>
      <c r="VOA286" s="208"/>
      <c r="VOB286" s="208"/>
      <c r="VOC286" s="208"/>
      <c r="VOD286" s="208"/>
      <c r="VOE286" s="208"/>
      <c r="VOF286" s="208"/>
      <c r="VOG286" s="208"/>
      <c r="VOH286" s="208"/>
      <c r="VOI286" s="208"/>
      <c r="VOJ286" s="208"/>
      <c r="VOK286" s="208"/>
      <c r="VOL286" s="208"/>
      <c r="VOM286" s="208"/>
      <c r="VON286" s="208"/>
      <c r="VOO286" s="208"/>
      <c r="VOP286" s="208"/>
      <c r="VOQ286" s="208"/>
      <c r="VOR286" s="208"/>
      <c r="VOS286" s="208"/>
      <c r="VOT286" s="208"/>
      <c r="VOU286" s="208"/>
      <c r="VOV286" s="208"/>
      <c r="VOW286" s="208"/>
      <c r="VOX286" s="208"/>
      <c r="VOY286" s="208"/>
      <c r="VOZ286" s="208"/>
      <c r="VPA286" s="208"/>
      <c r="VPB286" s="208"/>
      <c r="VPC286" s="208"/>
      <c r="VPD286" s="208"/>
      <c r="VPE286" s="208"/>
      <c r="VPF286" s="208"/>
      <c r="VPG286" s="208"/>
      <c r="VPH286" s="208"/>
      <c r="VPI286" s="208"/>
      <c r="VPJ286" s="208"/>
      <c r="VPK286" s="208"/>
      <c r="VPL286" s="208"/>
      <c r="VPM286" s="208"/>
      <c r="VPN286" s="208"/>
      <c r="VPO286" s="208"/>
      <c r="VPP286" s="208"/>
      <c r="VPQ286" s="208"/>
      <c r="VPR286" s="208"/>
      <c r="VPS286" s="208"/>
      <c r="VPT286" s="208"/>
      <c r="VPU286" s="208"/>
      <c r="VPV286" s="208"/>
      <c r="VPW286" s="208"/>
      <c r="VPX286" s="208"/>
      <c r="VPY286" s="208"/>
      <c r="VPZ286" s="208"/>
      <c r="VQA286" s="208"/>
      <c r="VQB286" s="208"/>
      <c r="VQC286" s="208"/>
      <c r="VQD286" s="208"/>
      <c r="VQE286" s="208"/>
      <c r="VQF286" s="208"/>
      <c r="VQG286" s="208"/>
      <c r="VQH286" s="208"/>
      <c r="VQI286" s="208"/>
      <c r="VQJ286" s="208"/>
      <c r="VQK286" s="208"/>
      <c r="VQL286" s="208"/>
      <c r="VQM286" s="208"/>
      <c r="VQN286" s="208"/>
      <c r="VQO286" s="208"/>
      <c r="VQP286" s="208"/>
      <c r="VQQ286" s="208"/>
      <c r="VQR286" s="208"/>
      <c r="VQS286" s="208"/>
      <c r="VQT286" s="208"/>
      <c r="VQU286" s="208"/>
      <c r="VQV286" s="208"/>
      <c r="VQW286" s="208"/>
      <c r="VQX286" s="208"/>
      <c r="VQY286" s="208"/>
      <c r="VQZ286" s="208"/>
      <c r="VRA286" s="208"/>
      <c r="VRB286" s="208"/>
      <c r="VRC286" s="208"/>
      <c r="VRD286" s="208"/>
      <c r="VRE286" s="208"/>
      <c r="VRF286" s="208"/>
      <c r="VRG286" s="208"/>
      <c r="VRH286" s="208"/>
      <c r="VRI286" s="208"/>
      <c r="VRJ286" s="208"/>
      <c r="VRK286" s="208"/>
      <c r="VRL286" s="208"/>
      <c r="VRM286" s="208"/>
      <c r="VRN286" s="208"/>
      <c r="VRO286" s="208"/>
      <c r="VRP286" s="208"/>
      <c r="VRQ286" s="208"/>
      <c r="VRR286" s="208"/>
      <c r="VRS286" s="208"/>
      <c r="VRT286" s="208"/>
      <c r="VRU286" s="208"/>
      <c r="VRV286" s="208"/>
      <c r="VRW286" s="208"/>
      <c r="VRX286" s="208"/>
      <c r="VRY286" s="208"/>
      <c r="VRZ286" s="208"/>
      <c r="VSA286" s="208"/>
      <c r="VSB286" s="208"/>
      <c r="VSC286" s="208"/>
      <c r="VSD286" s="208"/>
      <c r="VSE286" s="208"/>
      <c r="VSF286" s="208"/>
      <c r="VSG286" s="208"/>
      <c r="VSH286" s="208"/>
      <c r="VSI286" s="208"/>
      <c r="VSJ286" s="208"/>
      <c r="VSK286" s="208"/>
      <c r="VSL286" s="208"/>
      <c r="VSM286" s="208"/>
      <c r="VSN286" s="208"/>
      <c r="VSO286" s="208"/>
      <c r="VSP286" s="208"/>
      <c r="VSQ286" s="208"/>
      <c r="VSR286" s="208"/>
      <c r="VSS286" s="208"/>
      <c r="VST286" s="208"/>
      <c r="VSU286" s="208"/>
      <c r="VSV286" s="208"/>
      <c r="VSW286" s="208"/>
      <c r="VSX286" s="208"/>
      <c r="VSY286" s="208"/>
      <c r="VSZ286" s="208"/>
      <c r="VTA286" s="208"/>
      <c r="VTB286" s="208"/>
      <c r="VTC286" s="208"/>
      <c r="VTD286" s="208"/>
      <c r="VTE286" s="208"/>
      <c r="VTF286" s="208"/>
      <c r="VTG286" s="208"/>
      <c r="VTH286" s="208"/>
      <c r="VTI286" s="208"/>
      <c r="VTJ286" s="208"/>
      <c r="VTK286" s="208"/>
      <c r="VTL286" s="208"/>
      <c r="VTM286" s="208"/>
      <c r="VTN286" s="208"/>
      <c r="VTO286" s="208"/>
      <c r="VTP286" s="208"/>
      <c r="VTQ286" s="208"/>
      <c r="VTR286" s="208"/>
      <c r="VTS286" s="208"/>
      <c r="VTT286" s="208"/>
      <c r="VTU286" s="208"/>
      <c r="VTV286" s="208"/>
      <c r="VTW286" s="208"/>
      <c r="VTX286" s="208"/>
      <c r="VTY286" s="208"/>
      <c r="VTZ286" s="208"/>
      <c r="VUA286" s="208"/>
      <c r="VUB286" s="208"/>
      <c r="VUC286" s="208"/>
      <c r="VUD286" s="208"/>
      <c r="VUE286" s="208"/>
      <c r="VUF286" s="208"/>
      <c r="VUG286" s="208"/>
      <c r="VUH286" s="208"/>
      <c r="VUI286" s="208"/>
      <c r="VUJ286" s="208"/>
      <c r="VUK286" s="208"/>
      <c r="VUL286" s="208"/>
      <c r="VUM286" s="208"/>
      <c r="VUN286" s="208"/>
      <c r="VUO286" s="208"/>
      <c r="VUP286" s="208"/>
      <c r="VUQ286" s="208"/>
      <c r="VUR286" s="208"/>
      <c r="VUS286" s="208"/>
      <c r="VUT286" s="208"/>
      <c r="VUU286" s="208"/>
      <c r="VUV286" s="208"/>
      <c r="VUW286" s="208"/>
      <c r="VUX286" s="208"/>
      <c r="VUY286" s="208"/>
      <c r="VUZ286" s="208"/>
      <c r="VVA286" s="208"/>
      <c r="VVB286" s="208"/>
      <c r="VVC286" s="208"/>
      <c r="VVD286" s="208"/>
      <c r="VVE286" s="208"/>
      <c r="VVF286" s="208"/>
      <c r="VVG286" s="208"/>
      <c r="VVH286" s="208"/>
      <c r="VVI286" s="208"/>
      <c r="VVJ286" s="208"/>
      <c r="VVK286" s="208"/>
      <c r="VVL286" s="208"/>
      <c r="VVM286" s="208"/>
      <c r="VVN286" s="208"/>
      <c r="VVO286" s="208"/>
      <c r="VVP286" s="208"/>
      <c r="VVQ286" s="208"/>
      <c r="VVR286" s="208"/>
      <c r="VVS286" s="208"/>
      <c r="VVT286" s="208"/>
      <c r="VVU286" s="208"/>
      <c r="VVV286" s="208"/>
      <c r="VVW286" s="208"/>
      <c r="VVX286" s="208"/>
      <c r="VVY286" s="208"/>
      <c r="VVZ286" s="208"/>
      <c r="VWA286" s="208"/>
      <c r="VWB286" s="208"/>
      <c r="VWC286" s="208"/>
      <c r="VWD286" s="208"/>
      <c r="VWE286" s="208"/>
      <c r="VWF286" s="208"/>
      <c r="VWG286" s="208"/>
      <c r="VWH286" s="208"/>
      <c r="VWI286" s="208"/>
      <c r="VWJ286" s="208"/>
      <c r="VWK286" s="208"/>
      <c r="VWL286" s="208"/>
      <c r="VWM286" s="208"/>
      <c r="VWN286" s="208"/>
      <c r="VWO286" s="208"/>
      <c r="VWP286" s="208"/>
      <c r="VWQ286" s="208"/>
      <c r="VWR286" s="208"/>
      <c r="VWS286" s="208"/>
      <c r="VWT286" s="208"/>
      <c r="VWU286" s="208"/>
      <c r="VWV286" s="208"/>
      <c r="VWW286" s="208"/>
      <c r="VWX286" s="208"/>
      <c r="VWY286" s="208"/>
      <c r="VWZ286" s="208"/>
      <c r="VXA286" s="208"/>
      <c r="VXB286" s="208"/>
      <c r="VXC286" s="208"/>
      <c r="VXD286" s="208"/>
      <c r="VXE286" s="208"/>
      <c r="VXF286" s="208"/>
      <c r="VXG286" s="208"/>
      <c r="VXH286" s="208"/>
      <c r="VXI286" s="208"/>
      <c r="VXJ286" s="208"/>
      <c r="VXK286" s="208"/>
      <c r="VXL286" s="208"/>
      <c r="VXM286" s="208"/>
      <c r="VXN286" s="208"/>
      <c r="VXO286" s="208"/>
      <c r="VXP286" s="208"/>
      <c r="VXQ286" s="208"/>
      <c r="VXR286" s="208"/>
      <c r="VXS286" s="208"/>
      <c r="VXT286" s="208"/>
      <c r="VXU286" s="208"/>
      <c r="VXV286" s="208"/>
      <c r="VXW286" s="208"/>
      <c r="VXX286" s="208"/>
      <c r="VXY286" s="208"/>
      <c r="VXZ286" s="208"/>
      <c r="VYA286" s="208"/>
      <c r="VYB286" s="208"/>
      <c r="VYC286" s="208"/>
      <c r="VYD286" s="208"/>
      <c r="VYE286" s="208"/>
      <c r="VYF286" s="208"/>
      <c r="VYG286" s="208"/>
      <c r="VYH286" s="208"/>
      <c r="VYI286" s="208"/>
      <c r="VYJ286" s="208"/>
      <c r="VYK286" s="208"/>
      <c r="VYL286" s="208"/>
      <c r="VYM286" s="208"/>
      <c r="VYN286" s="208"/>
      <c r="VYO286" s="208"/>
      <c r="VYP286" s="208"/>
      <c r="VYQ286" s="208"/>
      <c r="VYR286" s="208"/>
      <c r="VYS286" s="208"/>
      <c r="VYT286" s="208"/>
      <c r="VYU286" s="208"/>
      <c r="VYV286" s="208"/>
      <c r="VYW286" s="208"/>
      <c r="VYX286" s="208"/>
      <c r="VYY286" s="208"/>
      <c r="VYZ286" s="208"/>
      <c r="VZA286" s="208"/>
      <c r="VZB286" s="208"/>
      <c r="VZC286" s="208"/>
      <c r="VZD286" s="208"/>
      <c r="VZE286" s="208"/>
      <c r="VZF286" s="208"/>
      <c r="VZG286" s="208"/>
      <c r="VZH286" s="208"/>
      <c r="VZI286" s="208"/>
      <c r="VZJ286" s="208"/>
      <c r="VZK286" s="208"/>
      <c r="VZL286" s="208"/>
      <c r="VZM286" s="208"/>
      <c r="VZN286" s="208"/>
      <c r="VZO286" s="208"/>
      <c r="VZP286" s="208"/>
      <c r="VZQ286" s="208"/>
      <c r="VZR286" s="208"/>
      <c r="VZS286" s="208"/>
      <c r="VZT286" s="208"/>
      <c r="VZU286" s="208"/>
      <c r="VZV286" s="208"/>
      <c r="VZW286" s="208"/>
      <c r="VZX286" s="208"/>
      <c r="VZY286" s="208"/>
      <c r="VZZ286" s="208"/>
      <c r="WAA286" s="208"/>
      <c r="WAB286" s="208"/>
      <c r="WAC286" s="208"/>
      <c r="WAD286" s="208"/>
      <c r="WAE286" s="208"/>
      <c r="WAF286" s="208"/>
      <c r="WAG286" s="208"/>
      <c r="WAH286" s="208"/>
      <c r="WAI286" s="208"/>
      <c r="WAJ286" s="208"/>
      <c r="WAK286" s="208"/>
      <c r="WAL286" s="208"/>
      <c r="WAM286" s="208"/>
      <c r="WAN286" s="208"/>
      <c r="WAO286" s="208"/>
      <c r="WAP286" s="208"/>
      <c r="WAQ286" s="208"/>
      <c r="WAR286" s="208"/>
      <c r="WAS286" s="208"/>
      <c r="WAT286" s="208"/>
      <c r="WAU286" s="208"/>
      <c r="WAV286" s="208"/>
      <c r="WAW286" s="208"/>
      <c r="WAX286" s="208"/>
      <c r="WAY286" s="208"/>
      <c r="WAZ286" s="208"/>
      <c r="WBA286" s="208"/>
      <c r="WBB286" s="208"/>
      <c r="WBC286" s="208"/>
      <c r="WBD286" s="208"/>
      <c r="WBE286" s="208"/>
      <c r="WBF286" s="208"/>
      <c r="WBG286" s="208"/>
      <c r="WBH286" s="208"/>
      <c r="WBI286" s="208"/>
      <c r="WBJ286" s="208"/>
      <c r="WBK286" s="208"/>
      <c r="WBL286" s="208"/>
      <c r="WBM286" s="208"/>
      <c r="WBN286" s="208"/>
      <c r="WBO286" s="208"/>
      <c r="WBP286" s="208"/>
      <c r="WBQ286" s="208"/>
      <c r="WBR286" s="208"/>
      <c r="WBS286" s="208"/>
      <c r="WBT286" s="208"/>
      <c r="WBU286" s="208"/>
      <c r="WBV286" s="208"/>
      <c r="WBW286" s="208"/>
      <c r="WBX286" s="208"/>
      <c r="WBY286" s="208"/>
      <c r="WBZ286" s="208"/>
      <c r="WCA286" s="208"/>
      <c r="WCB286" s="208"/>
      <c r="WCC286" s="208"/>
      <c r="WCD286" s="208"/>
      <c r="WCE286" s="208"/>
      <c r="WCF286" s="208"/>
      <c r="WCG286" s="208"/>
      <c r="WCH286" s="208"/>
      <c r="WCI286" s="208"/>
      <c r="WCJ286" s="208"/>
      <c r="WCK286" s="208"/>
      <c r="WCL286" s="208"/>
      <c r="WCM286" s="208"/>
      <c r="WCN286" s="208"/>
      <c r="WCO286" s="208"/>
      <c r="WCP286" s="208"/>
      <c r="WCQ286" s="208"/>
      <c r="WCR286" s="208"/>
      <c r="WCS286" s="208"/>
      <c r="WCT286" s="208"/>
      <c r="WCU286" s="208"/>
      <c r="WCV286" s="208"/>
      <c r="WCW286" s="208"/>
      <c r="WCX286" s="208"/>
      <c r="WCY286" s="208"/>
      <c r="WCZ286" s="208"/>
      <c r="WDA286" s="208"/>
      <c r="WDB286" s="208"/>
      <c r="WDC286" s="208"/>
      <c r="WDD286" s="208"/>
      <c r="WDE286" s="208"/>
      <c r="WDF286" s="208"/>
      <c r="WDG286" s="208"/>
      <c r="WDH286" s="208"/>
      <c r="WDI286" s="208"/>
      <c r="WDJ286" s="208"/>
      <c r="WDK286" s="208"/>
      <c r="WDL286" s="208"/>
      <c r="WDM286" s="208"/>
      <c r="WDN286" s="208"/>
      <c r="WDO286" s="208"/>
      <c r="WDP286" s="208"/>
      <c r="WDQ286" s="208"/>
      <c r="WDR286" s="208"/>
      <c r="WDS286" s="208"/>
      <c r="WDT286" s="208"/>
      <c r="WDU286" s="208"/>
      <c r="WDV286" s="208"/>
      <c r="WDW286" s="208"/>
      <c r="WDX286" s="208"/>
      <c r="WDY286" s="208"/>
      <c r="WDZ286" s="208"/>
      <c r="WEA286" s="208"/>
      <c r="WEB286" s="208"/>
      <c r="WEC286" s="208"/>
      <c r="WED286" s="208"/>
      <c r="WEE286" s="208"/>
      <c r="WEF286" s="208"/>
      <c r="WEG286" s="208"/>
      <c r="WEH286" s="208"/>
      <c r="WEI286" s="208"/>
      <c r="WEJ286" s="208"/>
      <c r="WEK286" s="208"/>
      <c r="WEL286" s="208"/>
      <c r="WEM286" s="208"/>
      <c r="WEN286" s="208"/>
      <c r="WEO286" s="208"/>
      <c r="WEP286" s="208"/>
      <c r="WEQ286" s="208"/>
      <c r="WER286" s="208"/>
      <c r="WES286" s="208"/>
      <c r="WET286" s="208"/>
      <c r="WEU286" s="208"/>
      <c r="WEV286" s="208"/>
      <c r="WEW286" s="208"/>
      <c r="WEX286" s="208"/>
      <c r="WEY286" s="208"/>
      <c r="WEZ286" s="208"/>
      <c r="WFA286" s="208"/>
      <c r="WFB286" s="208"/>
      <c r="WFC286" s="208"/>
      <c r="WFD286" s="208"/>
      <c r="WFE286" s="208"/>
      <c r="WFF286" s="208"/>
      <c r="WFG286" s="208"/>
      <c r="WFH286" s="208"/>
      <c r="WFI286" s="208"/>
      <c r="WFJ286" s="208"/>
      <c r="WFK286" s="208"/>
      <c r="WFL286" s="208"/>
      <c r="WFM286" s="208"/>
      <c r="WFN286" s="208"/>
      <c r="WFO286" s="208"/>
      <c r="WFP286" s="208"/>
      <c r="WFQ286" s="208"/>
      <c r="WFR286" s="208"/>
      <c r="WFS286" s="208"/>
      <c r="WFT286" s="208"/>
      <c r="WFU286" s="208"/>
      <c r="WFV286" s="208"/>
      <c r="WFW286" s="208"/>
      <c r="WFX286" s="208"/>
      <c r="WFY286" s="208"/>
      <c r="WFZ286" s="208"/>
      <c r="WGA286" s="208"/>
      <c r="WGB286" s="208"/>
      <c r="WGC286" s="208"/>
      <c r="WGD286" s="208"/>
      <c r="WGE286" s="208"/>
      <c r="WGF286" s="208"/>
      <c r="WGG286" s="208"/>
      <c r="WGH286" s="208"/>
      <c r="WGI286" s="208"/>
      <c r="WGJ286" s="208"/>
      <c r="WGK286" s="208"/>
      <c r="WGL286" s="208"/>
      <c r="WGM286" s="208"/>
      <c r="WGN286" s="208"/>
      <c r="WGO286" s="208"/>
      <c r="WGP286" s="208"/>
      <c r="WGQ286" s="208"/>
      <c r="WGR286" s="208"/>
      <c r="WGS286" s="208"/>
      <c r="WGT286" s="208"/>
      <c r="WGU286" s="208"/>
      <c r="WGV286" s="208"/>
      <c r="WGW286" s="208"/>
      <c r="WGX286" s="208"/>
      <c r="WGY286" s="208"/>
      <c r="WGZ286" s="208"/>
      <c r="WHA286" s="208"/>
      <c r="WHB286" s="208"/>
      <c r="WHC286" s="208"/>
      <c r="WHD286" s="208"/>
      <c r="WHE286" s="208"/>
      <c r="WHF286" s="208"/>
      <c r="WHG286" s="208"/>
      <c r="WHH286" s="208"/>
      <c r="WHI286" s="208"/>
      <c r="WHJ286" s="208"/>
      <c r="WHK286" s="208"/>
      <c r="WHL286" s="208"/>
      <c r="WHM286" s="208"/>
      <c r="WHN286" s="208"/>
      <c r="WHO286" s="208"/>
      <c r="WHP286" s="208"/>
      <c r="WHQ286" s="208"/>
      <c r="WHR286" s="208"/>
      <c r="WHS286" s="208"/>
      <c r="WHT286" s="208"/>
      <c r="WHU286" s="208"/>
      <c r="WHV286" s="208"/>
      <c r="WHW286" s="208"/>
      <c r="WHX286" s="208"/>
      <c r="WHY286" s="208"/>
      <c r="WHZ286" s="208"/>
      <c r="WIA286" s="208"/>
      <c r="WIB286" s="208"/>
      <c r="WIC286" s="208"/>
      <c r="WID286" s="208"/>
      <c r="WIE286" s="208"/>
      <c r="WIF286" s="208"/>
      <c r="WIG286" s="208"/>
      <c r="WIH286" s="208"/>
      <c r="WII286" s="208"/>
      <c r="WIJ286" s="208"/>
      <c r="WIK286" s="208"/>
      <c r="WIL286" s="208"/>
      <c r="WIM286" s="208"/>
      <c r="WIN286" s="208"/>
      <c r="WIO286" s="208"/>
      <c r="WIP286" s="208"/>
      <c r="WIQ286" s="208"/>
      <c r="WIR286" s="208"/>
      <c r="WIS286" s="208"/>
      <c r="WIT286" s="208"/>
      <c r="WIU286" s="208"/>
      <c r="WIV286" s="208"/>
      <c r="WIW286" s="208"/>
      <c r="WIX286" s="208"/>
      <c r="WIY286" s="208"/>
      <c r="WIZ286" s="208"/>
      <c r="WJA286" s="208"/>
      <c r="WJB286" s="208"/>
      <c r="WJC286" s="208"/>
      <c r="WJD286" s="208"/>
      <c r="WJE286" s="208"/>
      <c r="WJF286" s="208"/>
      <c r="WJG286" s="208"/>
      <c r="WJH286" s="208"/>
      <c r="WJI286" s="208"/>
      <c r="WJJ286" s="208"/>
      <c r="WJK286" s="208"/>
      <c r="WJL286" s="208"/>
      <c r="WJM286" s="208"/>
      <c r="WJN286" s="208"/>
      <c r="WJO286" s="208"/>
      <c r="WJP286" s="208"/>
      <c r="WJQ286" s="208"/>
      <c r="WJR286" s="208"/>
      <c r="WJS286" s="208"/>
      <c r="WJT286" s="208"/>
      <c r="WJU286" s="208"/>
      <c r="WJV286" s="208"/>
      <c r="WJW286" s="208"/>
      <c r="WJX286" s="208"/>
      <c r="WJY286" s="208"/>
      <c r="WJZ286" s="208"/>
      <c r="WKA286" s="208"/>
      <c r="WKB286" s="208"/>
      <c r="WKC286" s="208"/>
      <c r="WKD286" s="208"/>
      <c r="WKE286" s="208"/>
      <c r="WKF286" s="208"/>
      <c r="WKG286" s="208"/>
      <c r="WKH286" s="208"/>
      <c r="WKI286" s="208"/>
      <c r="WKJ286" s="208"/>
      <c r="WKK286" s="208"/>
      <c r="WKL286" s="208"/>
      <c r="WKM286" s="208"/>
      <c r="WKN286" s="208"/>
      <c r="WKO286" s="208"/>
      <c r="WKP286" s="208"/>
      <c r="WKQ286" s="208"/>
      <c r="WKR286" s="208"/>
      <c r="WKS286" s="208"/>
      <c r="WKT286" s="208"/>
      <c r="WKU286" s="208"/>
      <c r="WKV286" s="208"/>
      <c r="WKW286" s="208"/>
      <c r="WKX286" s="208"/>
      <c r="WKY286" s="208"/>
      <c r="WKZ286" s="208"/>
      <c r="WLA286" s="208"/>
      <c r="WLB286" s="208"/>
      <c r="WLC286" s="208"/>
      <c r="WLD286" s="208"/>
      <c r="WLE286" s="208"/>
      <c r="WLF286" s="208"/>
      <c r="WLG286" s="208"/>
      <c r="WLH286" s="208"/>
      <c r="WLI286" s="208"/>
      <c r="WLJ286" s="208"/>
      <c r="WLK286" s="208"/>
      <c r="WLL286" s="208"/>
      <c r="WLM286" s="208"/>
      <c r="WLN286" s="208"/>
      <c r="WLO286" s="208"/>
      <c r="WLP286" s="208"/>
      <c r="WLQ286" s="208"/>
      <c r="WLR286" s="208"/>
      <c r="WLS286" s="208"/>
      <c r="WLT286" s="208"/>
      <c r="WLU286" s="208"/>
      <c r="WLV286" s="208"/>
      <c r="WLW286" s="208"/>
      <c r="WLX286" s="208"/>
      <c r="WLY286" s="208"/>
      <c r="WLZ286" s="208"/>
      <c r="WMA286" s="208"/>
      <c r="WMB286" s="208"/>
      <c r="WMC286" s="208"/>
      <c r="WMD286" s="208"/>
      <c r="WME286" s="208"/>
      <c r="WMF286" s="208"/>
      <c r="WMG286" s="208"/>
      <c r="WMH286" s="208"/>
      <c r="WMI286" s="208"/>
      <c r="WMJ286" s="208"/>
      <c r="WMK286" s="208"/>
      <c r="WML286" s="208"/>
      <c r="WMM286" s="208"/>
      <c r="WMN286" s="208"/>
      <c r="WMO286" s="208"/>
      <c r="WMP286" s="208"/>
      <c r="WMQ286" s="208"/>
      <c r="WMR286" s="208"/>
      <c r="WMS286" s="208"/>
      <c r="WMT286" s="208"/>
      <c r="WMU286" s="208"/>
      <c r="WMV286" s="208"/>
      <c r="WMW286" s="208"/>
      <c r="WMX286" s="208"/>
      <c r="WMY286" s="208"/>
      <c r="WMZ286" s="208"/>
      <c r="WNA286" s="208"/>
      <c r="WNB286" s="208"/>
      <c r="WNC286" s="208"/>
      <c r="WND286" s="208"/>
      <c r="WNE286" s="208"/>
      <c r="WNF286" s="208"/>
      <c r="WNG286" s="208"/>
      <c r="WNH286" s="208"/>
      <c r="WNI286" s="208"/>
      <c r="WNJ286" s="208"/>
      <c r="WNK286" s="208"/>
      <c r="WNL286" s="208"/>
      <c r="WNM286" s="208"/>
      <c r="WNN286" s="208"/>
      <c r="WNO286" s="208"/>
      <c r="WNP286" s="208"/>
      <c r="WNQ286" s="208"/>
      <c r="WNR286" s="208"/>
      <c r="WNS286" s="208"/>
      <c r="WNT286" s="208"/>
      <c r="WNU286" s="208"/>
      <c r="WNV286" s="208"/>
      <c r="WNW286" s="208"/>
      <c r="WNX286" s="208"/>
      <c r="WNY286" s="208"/>
      <c r="WNZ286" s="208"/>
      <c r="WOA286" s="208"/>
      <c r="WOB286" s="208"/>
      <c r="WOC286" s="208"/>
      <c r="WOD286" s="208"/>
      <c r="WOE286" s="208"/>
      <c r="WOF286" s="208"/>
      <c r="WOG286" s="208"/>
      <c r="WOH286" s="208"/>
      <c r="WOI286" s="208"/>
      <c r="WOJ286" s="208"/>
      <c r="WOK286" s="208"/>
      <c r="WOL286" s="208"/>
      <c r="WOM286" s="208"/>
      <c r="WON286" s="208"/>
      <c r="WOO286" s="208"/>
      <c r="WOP286" s="208"/>
      <c r="WOQ286" s="208"/>
      <c r="WOR286" s="208"/>
      <c r="WOS286" s="208"/>
      <c r="WOT286" s="208"/>
      <c r="WOU286" s="208"/>
      <c r="WOV286" s="208"/>
      <c r="WOW286" s="208"/>
      <c r="WOX286" s="208"/>
      <c r="WOY286" s="208"/>
      <c r="WOZ286" s="208"/>
      <c r="WPA286" s="208"/>
      <c r="WPB286" s="208"/>
      <c r="WPC286" s="208"/>
      <c r="WPD286" s="208"/>
      <c r="WPE286" s="208"/>
      <c r="WPF286" s="208"/>
      <c r="WPG286" s="208"/>
      <c r="WPH286" s="208"/>
      <c r="WPI286" s="208"/>
      <c r="WPJ286" s="208"/>
      <c r="WPK286" s="208"/>
      <c r="WPL286" s="208"/>
      <c r="WPM286" s="208"/>
      <c r="WPN286" s="208"/>
      <c r="WPO286" s="208"/>
      <c r="WPP286" s="208"/>
      <c r="WPQ286" s="208"/>
      <c r="WPR286" s="208"/>
      <c r="WPS286" s="208"/>
      <c r="WPT286" s="208"/>
      <c r="WPU286" s="208"/>
      <c r="WPV286" s="208"/>
      <c r="WPW286" s="208"/>
      <c r="WPX286" s="208"/>
      <c r="WPY286" s="208"/>
      <c r="WPZ286" s="208"/>
      <c r="WQA286" s="208"/>
      <c r="WQB286" s="208"/>
      <c r="WQC286" s="208"/>
      <c r="WQD286" s="208"/>
      <c r="WQE286" s="208"/>
      <c r="WQF286" s="208"/>
      <c r="WQG286" s="208"/>
      <c r="WQH286" s="208"/>
      <c r="WQI286" s="208"/>
      <c r="WQJ286" s="208"/>
      <c r="WQK286" s="208"/>
      <c r="WQL286" s="208"/>
      <c r="WQM286" s="208"/>
      <c r="WQN286" s="208"/>
      <c r="WQO286" s="208"/>
      <c r="WQP286" s="208"/>
      <c r="WQQ286" s="208"/>
      <c r="WQR286" s="208"/>
      <c r="WQS286" s="208"/>
      <c r="WQT286" s="208"/>
      <c r="WQU286" s="208"/>
      <c r="WQV286" s="208"/>
      <c r="WQW286" s="208"/>
      <c r="WQX286" s="208"/>
      <c r="WQY286" s="208"/>
      <c r="WQZ286" s="208"/>
      <c r="WRA286" s="208"/>
      <c r="WRB286" s="208"/>
      <c r="WRC286" s="208"/>
      <c r="WRD286" s="208"/>
      <c r="WRE286" s="208"/>
      <c r="WRF286" s="208"/>
      <c r="WRG286" s="208"/>
      <c r="WRH286" s="208"/>
      <c r="WRI286" s="208"/>
      <c r="WRJ286" s="208"/>
      <c r="WRK286" s="208"/>
      <c r="WRL286" s="208"/>
      <c r="WRM286" s="208"/>
      <c r="WRN286" s="208"/>
      <c r="WRO286" s="208"/>
      <c r="WRP286" s="208"/>
      <c r="WRQ286" s="208"/>
      <c r="WRR286" s="208"/>
      <c r="WRS286" s="208"/>
      <c r="WRT286" s="208"/>
      <c r="WRU286" s="208"/>
      <c r="WRV286" s="208"/>
      <c r="WRW286" s="208"/>
      <c r="WRX286" s="208"/>
      <c r="WRY286" s="208"/>
      <c r="WRZ286" s="208"/>
      <c r="WSA286" s="208"/>
      <c r="WSB286" s="208"/>
      <c r="WSC286" s="208"/>
      <c r="WSD286" s="208"/>
      <c r="WSE286" s="208"/>
      <c r="WSF286" s="208"/>
      <c r="WSG286" s="208"/>
      <c r="WSH286" s="208"/>
      <c r="WSI286" s="208"/>
      <c r="WSJ286" s="208"/>
      <c r="WSK286" s="208"/>
      <c r="WSL286" s="208"/>
      <c r="WSM286" s="208"/>
      <c r="WSN286" s="208"/>
      <c r="WSO286" s="208"/>
      <c r="WSP286" s="208"/>
      <c r="WSQ286" s="208"/>
      <c r="WSR286" s="208"/>
      <c r="WSS286" s="208"/>
      <c r="WST286" s="208"/>
      <c r="WSU286" s="208"/>
      <c r="WSV286" s="208"/>
      <c r="WSW286" s="208"/>
      <c r="WSX286" s="208"/>
      <c r="WSY286" s="208"/>
      <c r="WSZ286" s="208"/>
      <c r="WTA286" s="208"/>
      <c r="WTB286" s="208"/>
      <c r="WTC286" s="208"/>
      <c r="WTD286" s="208"/>
      <c r="WTE286" s="208"/>
      <c r="WTF286" s="208"/>
      <c r="WTG286" s="208"/>
      <c r="WTH286" s="208"/>
      <c r="WTI286" s="208"/>
      <c r="WTJ286" s="208"/>
      <c r="WTK286" s="208"/>
      <c r="WTL286" s="208"/>
      <c r="WTM286" s="208"/>
      <c r="WTN286" s="208"/>
      <c r="WTO286" s="208"/>
      <c r="WTP286" s="208"/>
      <c r="WTQ286" s="208"/>
      <c r="WTR286" s="208"/>
      <c r="WTS286" s="208"/>
      <c r="WTT286" s="208"/>
      <c r="WTU286" s="208"/>
      <c r="WTV286" s="208"/>
      <c r="WTW286" s="208"/>
      <c r="WTX286" s="208"/>
      <c r="WTY286" s="208"/>
      <c r="WTZ286" s="208"/>
      <c r="WUA286" s="208"/>
      <c r="WUB286" s="208"/>
      <c r="WUC286" s="208"/>
      <c r="WUD286" s="208"/>
      <c r="WUE286" s="208"/>
      <c r="WUF286" s="208"/>
      <c r="WUG286" s="208"/>
      <c r="WUH286" s="208"/>
      <c r="WUI286" s="208"/>
      <c r="WUJ286" s="208"/>
      <c r="WUK286" s="208"/>
      <c r="WUL286" s="208"/>
      <c r="WUM286" s="208"/>
      <c r="WUN286" s="208"/>
      <c r="WUO286" s="208"/>
      <c r="WUP286" s="208"/>
      <c r="WUQ286" s="208"/>
      <c r="WUR286" s="208"/>
      <c r="WUS286" s="208"/>
      <c r="WUT286" s="208"/>
      <c r="WUU286" s="208"/>
      <c r="WUV286" s="208"/>
      <c r="WUW286" s="208"/>
      <c r="WUX286" s="208"/>
      <c r="WUY286" s="208"/>
      <c r="WUZ286" s="208"/>
      <c r="WVA286" s="208"/>
      <c r="WVB286" s="208"/>
      <c r="WVC286" s="208"/>
      <c r="WVD286" s="208"/>
      <c r="WVE286" s="208"/>
      <c r="WVF286" s="208"/>
      <c r="WVG286" s="208"/>
      <c r="WVH286" s="208"/>
      <c r="WVI286" s="208"/>
      <c r="WVJ286" s="208"/>
      <c r="WVK286" s="208"/>
      <c r="WVL286" s="208"/>
      <c r="WVM286" s="208"/>
      <c r="WVN286" s="208"/>
      <c r="WVO286" s="208"/>
      <c r="WVP286" s="208"/>
      <c r="WVQ286" s="208"/>
      <c r="WVR286" s="208"/>
      <c r="WVS286" s="208"/>
      <c r="WVT286" s="208"/>
      <c r="WVU286" s="208"/>
      <c r="WVV286" s="208"/>
      <c r="WVW286" s="208"/>
      <c r="WVX286" s="208"/>
      <c r="WVY286" s="208"/>
      <c r="WVZ286" s="208"/>
      <c r="WWA286" s="208"/>
      <c r="WWB286" s="208"/>
      <c r="WWC286" s="208"/>
      <c r="WWD286" s="208"/>
      <c r="WWE286" s="208"/>
      <c r="WWF286" s="208"/>
      <c r="WWG286" s="208"/>
      <c r="WWH286" s="208"/>
      <c r="WWI286" s="208"/>
      <c r="WWJ286" s="208"/>
      <c r="WWK286" s="208"/>
      <c r="WWL286" s="208"/>
      <c r="WWM286" s="208"/>
      <c r="WWN286" s="208"/>
      <c r="WWO286" s="208"/>
      <c r="WWP286" s="208"/>
      <c r="WWQ286" s="208"/>
      <c r="WWR286" s="208"/>
      <c r="WWS286" s="208"/>
      <c r="WWT286" s="208"/>
      <c r="WWU286" s="208"/>
      <c r="WWV286" s="208"/>
      <c r="WWW286" s="208"/>
      <c r="WWX286" s="208"/>
      <c r="WWY286" s="208"/>
      <c r="WWZ286" s="208"/>
      <c r="WXA286" s="208"/>
      <c r="WXB286" s="208"/>
      <c r="WXC286" s="208"/>
      <c r="WXD286" s="208"/>
      <c r="WXE286" s="208"/>
      <c r="WXF286" s="208"/>
      <c r="WXG286" s="208"/>
      <c r="WXH286" s="208"/>
      <c r="WXI286" s="208"/>
      <c r="WXJ286" s="208"/>
      <c r="WXK286" s="208"/>
      <c r="WXL286" s="208"/>
      <c r="WXM286" s="208"/>
      <c r="WXN286" s="208"/>
      <c r="WXO286" s="208"/>
      <c r="WXP286" s="208"/>
      <c r="WXQ286" s="208"/>
      <c r="WXR286" s="208"/>
      <c r="WXS286" s="208"/>
      <c r="WXT286" s="208"/>
      <c r="WXU286" s="208"/>
      <c r="WXV286" s="208"/>
      <c r="WXW286" s="208"/>
      <c r="WXX286" s="208"/>
      <c r="WXY286" s="208"/>
      <c r="WXZ286" s="208"/>
      <c r="WYA286" s="208"/>
      <c r="WYB286" s="208"/>
      <c r="WYC286" s="208"/>
      <c r="WYD286" s="208"/>
      <c r="WYE286" s="208"/>
      <c r="WYF286" s="208"/>
      <c r="WYG286" s="208"/>
      <c r="WYH286" s="208"/>
      <c r="WYI286" s="208"/>
      <c r="WYJ286" s="208"/>
      <c r="WYK286" s="208"/>
      <c r="WYL286" s="208"/>
      <c r="WYM286" s="208"/>
      <c r="WYN286" s="208"/>
      <c r="WYO286" s="208"/>
      <c r="WYP286" s="208"/>
      <c r="WYQ286" s="208"/>
      <c r="WYR286" s="208"/>
      <c r="WYS286" s="208"/>
      <c r="WYT286" s="208"/>
      <c r="WYU286" s="208"/>
      <c r="WYV286" s="208"/>
      <c r="WYW286" s="208"/>
      <c r="WYX286" s="208"/>
      <c r="WYY286" s="208"/>
      <c r="WYZ286" s="208"/>
      <c r="WZA286" s="208"/>
      <c r="WZB286" s="208"/>
      <c r="WZC286" s="208"/>
      <c r="WZD286" s="208"/>
      <c r="WZE286" s="208"/>
      <c r="WZF286" s="208"/>
      <c r="WZG286" s="208"/>
      <c r="WZH286" s="208"/>
      <c r="WZI286" s="208"/>
      <c r="WZJ286" s="208"/>
      <c r="WZK286" s="208"/>
      <c r="WZL286" s="208"/>
      <c r="WZM286" s="208"/>
      <c r="WZN286" s="208"/>
      <c r="WZO286" s="208"/>
      <c r="WZP286" s="208"/>
      <c r="WZQ286" s="208"/>
      <c r="WZR286" s="208"/>
      <c r="WZS286" s="208"/>
      <c r="WZT286" s="208"/>
      <c r="WZU286" s="208"/>
      <c r="WZV286" s="208"/>
      <c r="WZW286" s="208"/>
      <c r="WZX286" s="208"/>
      <c r="WZY286" s="208"/>
      <c r="WZZ286" s="208"/>
      <c r="XAA286" s="208"/>
      <c r="XAB286" s="208"/>
      <c r="XAC286" s="208"/>
      <c r="XAD286" s="208"/>
      <c r="XAE286" s="208"/>
      <c r="XAF286" s="208"/>
      <c r="XAG286" s="208"/>
      <c r="XAH286" s="208"/>
      <c r="XAI286" s="208"/>
      <c r="XAJ286" s="208"/>
      <c r="XAK286" s="208"/>
      <c r="XAL286" s="208"/>
      <c r="XAM286" s="208"/>
      <c r="XAN286" s="208"/>
      <c r="XAO286" s="208"/>
      <c r="XAP286" s="208"/>
      <c r="XAQ286" s="208"/>
      <c r="XAR286" s="208"/>
      <c r="XAS286" s="208"/>
      <c r="XAT286" s="208"/>
      <c r="XAU286" s="208"/>
      <c r="XAV286" s="208"/>
      <c r="XAW286" s="208"/>
      <c r="XAX286" s="208"/>
      <c r="XAY286" s="208"/>
      <c r="XAZ286" s="208"/>
      <c r="XBA286" s="208"/>
      <c r="XBB286" s="208"/>
      <c r="XBC286" s="208"/>
      <c r="XBD286" s="208"/>
      <c r="XBE286" s="208"/>
      <c r="XBF286" s="208"/>
      <c r="XBG286" s="208"/>
      <c r="XBH286" s="208"/>
      <c r="XBI286" s="208"/>
      <c r="XBJ286" s="208"/>
      <c r="XBK286" s="208"/>
      <c r="XBL286" s="208"/>
      <c r="XBM286" s="208"/>
      <c r="XBN286" s="208"/>
      <c r="XBO286" s="208"/>
      <c r="XBP286" s="208"/>
      <c r="XBQ286" s="208"/>
      <c r="XBR286" s="208"/>
      <c r="XBS286" s="208"/>
      <c r="XBT286" s="208"/>
      <c r="XBU286" s="208"/>
      <c r="XBV286" s="208"/>
      <c r="XBW286" s="208"/>
      <c r="XBX286" s="208"/>
      <c r="XBY286" s="208"/>
      <c r="XBZ286" s="208"/>
      <c r="XCA286" s="208"/>
      <c r="XCB286" s="208"/>
      <c r="XCC286" s="208"/>
      <c r="XCD286" s="208"/>
      <c r="XCE286" s="208"/>
      <c r="XCF286" s="208"/>
      <c r="XCG286" s="208"/>
      <c r="XCH286" s="208"/>
      <c r="XCI286" s="208"/>
      <c r="XCJ286" s="208"/>
      <c r="XCK286" s="208"/>
      <c r="XCL286" s="208"/>
      <c r="XCM286" s="208"/>
      <c r="XCN286" s="208"/>
      <c r="XCO286" s="208"/>
      <c r="XCP286" s="208"/>
      <c r="XCQ286" s="208"/>
      <c r="XCR286" s="208"/>
      <c r="XCS286" s="208"/>
      <c r="XCT286" s="208"/>
      <c r="XCU286" s="208"/>
      <c r="XCV286" s="208"/>
      <c r="XCW286" s="208"/>
      <c r="XCX286" s="208"/>
      <c r="XCY286" s="208"/>
      <c r="XCZ286" s="208"/>
      <c r="XDA286" s="208"/>
      <c r="XDB286" s="208"/>
      <c r="XDC286" s="208"/>
      <c r="XDD286" s="208"/>
      <c r="XDE286" s="208"/>
      <c r="XDF286" s="208"/>
      <c r="XDG286" s="208"/>
      <c r="XDH286" s="208"/>
      <c r="XDI286" s="208"/>
      <c r="XDJ286" s="208"/>
      <c r="XDK286" s="208"/>
      <c r="XDL286" s="208"/>
      <c r="XDM286" s="208"/>
      <c r="XDN286" s="208"/>
      <c r="XDO286" s="208"/>
      <c r="XDP286" s="208"/>
      <c r="XDQ286" s="208"/>
      <c r="XDR286" s="208"/>
      <c r="XDS286" s="208"/>
      <c r="XDT286" s="208"/>
      <c r="XDU286" s="208"/>
      <c r="XDV286" s="208"/>
      <c r="XDW286" s="208"/>
      <c r="XDX286" s="208"/>
      <c r="XDY286" s="208"/>
      <c r="XDZ286" s="208"/>
      <c r="XEA286" s="208"/>
      <c r="XEB286" s="208"/>
      <c r="XEC286" s="208"/>
      <c r="XED286" s="208"/>
      <c r="XEE286" s="208"/>
      <c r="XEF286" s="208"/>
      <c r="XEG286" s="208"/>
      <c r="XEH286" s="208"/>
      <c r="XEI286" s="208"/>
      <c r="XEJ286" s="208"/>
      <c r="XEK286" s="208"/>
      <c r="XEL286" s="208"/>
      <c r="XEM286" s="208"/>
      <c r="XEN286" s="208"/>
      <c r="XEO286" s="208"/>
      <c r="XEP286" s="208"/>
      <c r="XEQ286" s="208"/>
      <c r="XER286" s="208"/>
      <c r="XES286" s="208"/>
      <c r="XET286" s="208"/>
      <c r="XEU286" s="208"/>
      <c r="XEV286" s="208"/>
      <c r="XEW286" s="208"/>
      <c r="XEX286" s="208"/>
      <c r="XEY286" s="208"/>
      <c r="XEZ286" s="208"/>
      <c r="XFA286" s="208"/>
      <c r="XFB286" s="208"/>
      <c r="XFC286" s="208"/>
      <c r="XFD286" s="208"/>
    </row>
    <row r="287" spans="1:16384" s="2" customFormat="1" ht="47.25" customHeight="1" x14ac:dyDescent="0.25">
      <c r="A287" s="200"/>
      <c r="B287" s="201"/>
      <c r="C287" s="202" t="s">
        <v>42</v>
      </c>
      <c r="D287" s="203" t="s">
        <v>65</v>
      </c>
      <c r="E287" s="204">
        <f>SUM(E284:E286)</f>
        <v>10883.317000000001</v>
      </c>
      <c r="F287" s="204"/>
      <c r="G287" s="173">
        <f>SUM(G284:G285)</f>
        <v>35432.221799999999</v>
      </c>
      <c r="H287" s="173">
        <f>SUM(H284:H285)</f>
        <v>244240.31500000003</v>
      </c>
      <c r="I287" s="173"/>
      <c r="J287" s="173"/>
      <c r="K287" s="173"/>
      <c r="L287" s="201"/>
      <c r="M287" s="201"/>
      <c r="N287" s="201"/>
      <c r="O287" s="201"/>
      <c r="P287" s="173">
        <v>32980.07</v>
      </c>
      <c r="Q287" s="205"/>
      <c r="R287" s="206"/>
      <c r="S287" s="207"/>
    </row>
    <row r="288" spans="1:16384" s="2" customFormat="1" ht="21" customHeight="1" x14ac:dyDescent="0.25">
      <c r="A288" s="20"/>
      <c r="B288" s="129"/>
      <c r="C288" s="131" t="s">
        <v>42</v>
      </c>
      <c r="D288" s="99" t="s">
        <v>70</v>
      </c>
      <c r="E288" s="93">
        <v>389.14</v>
      </c>
      <c r="F288" s="94">
        <v>3.37</v>
      </c>
      <c r="G288" s="94">
        <v>1311.4018000000001</v>
      </c>
      <c r="H288" s="94">
        <v>15565.599999999999</v>
      </c>
      <c r="I288" s="94"/>
      <c r="J288" s="94"/>
      <c r="K288" s="94"/>
      <c r="L288" s="129"/>
      <c r="M288" s="129"/>
      <c r="N288" s="129"/>
      <c r="O288" s="129"/>
      <c r="P288" s="94">
        <v>0</v>
      </c>
      <c r="Q288" s="73"/>
      <c r="R288" s="74"/>
      <c r="S288" s="47"/>
    </row>
    <row r="289" spans="1:20" s="2" customFormat="1" ht="48" customHeight="1" x14ac:dyDescent="0.25">
      <c r="A289" s="18"/>
      <c r="B289" s="122"/>
      <c r="C289" s="132" t="s">
        <v>42</v>
      </c>
      <c r="D289" s="100" t="s">
        <v>69</v>
      </c>
      <c r="E289" s="89">
        <f>SUM(E287:E288)</f>
        <v>11272.457</v>
      </c>
      <c r="F289" s="89"/>
      <c r="G289" s="87">
        <f t="shared" ref="G289:H289" si="79">SUM(G287:G288)</f>
        <v>36743.623599999999</v>
      </c>
      <c r="H289" s="87">
        <f t="shared" si="79"/>
        <v>259805.91500000004</v>
      </c>
      <c r="I289" s="87"/>
      <c r="J289" s="87"/>
      <c r="K289" s="87"/>
      <c r="L289" s="122"/>
      <c r="M289" s="122"/>
      <c r="N289" s="122"/>
      <c r="O289" s="122"/>
      <c r="P289" s="87">
        <v>32980.07</v>
      </c>
      <c r="Q289" s="76"/>
      <c r="R289" s="77"/>
      <c r="S289" s="50"/>
    </row>
    <row r="290" spans="1:20" s="2" customFormat="1" ht="20.25" customHeight="1" x14ac:dyDescent="0.25">
      <c r="A290" s="20"/>
      <c r="B290" s="129"/>
      <c r="C290" s="131" t="s">
        <v>42</v>
      </c>
      <c r="D290" s="99" t="s">
        <v>71</v>
      </c>
      <c r="E290" s="93">
        <v>360.4</v>
      </c>
      <c r="F290" s="94">
        <v>3.45</v>
      </c>
      <c r="G290" s="94">
        <f>E290*F290</f>
        <v>1243.3799999999999</v>
      </c>
      <c r="H290" s="94">
        <f>E290*45</f>
        <v>16217.999999999998</v>
      </c>
      <c r="I290" s="94"/>
      <c r="J290" s="94"/>
      <c r="K290" s="94"/>
      <c r="L290" s="129"/>
      <c r="M290" s="129"/>
      <c r="N290" s="129"/>
      <c r="O290" s="129"/>
      <c r="P290" s="94">
        <v>0</v>
      </c>
      <c r="Q290" s="73"/>
      <c r="R290" s="74"/>
      <c r="S290" s="47"/>
    </row>
    <row r="291" spans="1:20" s="2" customFormat="1" ht="43.5" customHeight="1" x14ac:dyDescent="0.25">
      <c r="A291" s="18"/>
      <c r="B291" s="122"/>
      <c r="C291" s="132" t="s">
        <v>42</v>
      </c>
      <c r="D291" s="100" t="s">
        <v>72</v>
      </c>
      <c r="E291" s="89">
        <f>SUM(E289:E290)</f>
        <v>11632.857</v>
      </c>
      <c r="F291" s="89"/>
      <c r="G291" s="87">
        <f t="shared" ref="G291:H291" si="80">SUM(G289:G290)</f>
        <v>37987.003599999996</v>
      </c>
      <c r="H291" s="87">
        <f t="shared" si="80"/>
        <v>276023.91500000004</v>
      </c>
      <c r="I291" s="87"/>
      <c r="J291" s="87"/>
      <c r="K291" s="87"/>
      <c r="L291" s="122"/>
      <c r="M291" s="122"/>
      <c r="N291" s="122"/>
      <c r="O291" s="122"/>
      <c r="P291" s="87">
        <v>32980.07</v>
      </c>
      <c r="Q291" s="76"/>
      <c r="R291" s="77"/>
      <c r="S291" s="50"/>
    </row>
    <row r="292" spans="1:20" s="2" customFormat="1" ht="21.75" customHeight="1" x14ac:dyDescent="0.25">
      <c r="A292" s="20"/>
      <c r="B292" s="129"/>
      <c r="C292" s="131" t="s">
        <v>42</v>
      </c>
      <c r="D292" s="99" t="s">
        <v>73</v>
      </c>
      <c r="E292" s="93">
        <v>449.06</v>
      </c>
      <c r="F292" s="94">
        <v>3.45</v>
      </c>
      <c r="G292" s="94">
        <f>E292*F292</f>
        <v>1549.2570000000001</v>
      </c>
      <c r="H292" s="94">
        <f>E292*45</f>
        <v>20207.7</v>
      </c>
      <c r="I292" s="94"/>
      <c r="J292" s="94"/>
      <c r="K292" s="94"/>
      <c r="L292" s="129"/>
      <c r="M292" s="129"/>
      <c r="N292" s="129"/>
      <c r="O292" s="129"/>
      <c r="P292" s="94">
        <v>0</v>
      </c>
      <c r="Q292" s="73"/>
      <c r="R292" s="74"/>
      <c r="S292" s="47"/>
    </row>
    <row r="293" spans="1:20" s="2" customFormat="1" ht="43.5" customHeight="1" x14ac:dyDescent="0.25">
      <c r="A293" s="18"/>
      <c r="B293" s="122"/>
      <c r="C293" s="132" t="s">
        <v>42</v>
      </c>
      <c r="D293" s="100" t="s">
        <v>74</v>
      </c>
      <c r="E293" s="89">
        <f>SUM(E291:E292)</f>
        <v>12081.916999999999</v>
      </c>
      <c r="F293" s="89"/>
      <c r="G293" s="87">
        <f t="shared" ref="G293:H293" si="81">SUM(G291:G292)</f>
        <v>39536.260599999994</v>
      </c>
      <c r="H293" s="87">
        <f t="shared" si="81"/>
        <v>296231.61500000005</v>
      </c>
      <c r="I293" s="87"/>
      <c r="J293" s="87"/>
      <c r="K293" s="87"/>
      <c r="L293" s="122"/>
      <c r="M293" s="122"/>
      <c r="N293" s="122"/>
      <c r="O293" s="122"/>
      <c r="P293" s="87">
        <v>32980.07</v>
      </c>
      <c r="Q293" s="76"/>
      <c r="R293" s="77"/>
      <c r="S293" s="50"/>
    </row>
    <row r="294" spans="1:20" s="2" customFormat="1" ht="19.5" customHeight="1" x14ac:dyDescent="0.25">
      <c r="A294" s="20"/>
      <c r="B294" s="129"/>
      <c r="C294" s="131" t="s">
        <v>42</v>
      </c>
      <c r="D294" s="99" t="s">
        <v>76</v>
      </c>
      <c r="E294" s="93">
        <v>404.78</v>
      </c>
      <c r="F294" s="94">
        <v>3.45</v>
      </c>
      <c r="G294" s="94">
        <f>E294*F294</f>
        <v>1396.491</v>
      </c>
      <c r="H294" s="94">
        <f>E294*45</f>
        <v>18215.099999999999</v>
      </c>
      <c r="I294" s="94"/>
      <c r="J294" s="94"/>
      <c r="K294" s="94"/>
      <c r="L294" s="129"/>
      <c r="M294" s="129"/>
      <c r="N294" s="129"/>
      <c r="O294" s="129"/>
      <c r="P294" s="94">
        <v>0</v>
      </c>
      <c r="Q294" s="73"/>
      <c r="R294" s="74"/>
      <c r="S294" s="47"/>
    </row>
    <row r="295" spans="1:20" s="2" customFormat="1" ht="39.75" customHeight="1" x14ac:dyDescent="0.25">
      <c r="A295" s="20"/>
      <c r="B295" s="129"/>
      <c r="C295" s="131" t="s">
        <v>45</v>
      </c>
      <c r="D295" s="104"/>
      <c r="E295" s="93">
        <v>15.54</v>
      </c>
      <c r="F295" s="94">
        <v>0</v>
      </c>
      <c r="G295" s="94">
        <v>0</v>
      </c>
      <c r="H295" s="94">
        <v>0</v>
      </c>
      <c r="I295" s="94"/>
      <c r="J295" s="94"/>
      <c r="K295" s="94"/>
      <c r="L295" s="129"/>
      <c r="M295" s="129"/>
      <c r="N295" s="129"/>
      <c r="O295" s="129"/>
      <c r="P295" s="94"/>
      <c r="Q295" s="73"/>
      <c r="R295" s="74"/>
      <c r="S295" s="47"/>
    </row>
    <row r="296" spans="1:20" s="2" customFormat="1" ht="43.5" customHeight="1" x14ac:dyDescent="0.25">
      <c r="A296" s="18"/>
      <c r="B296" s="122"/>
      <c r="C296" s="132" t="s">
        <v>42</v>
      </c>
      <c r="D296" s="100" t="s">
        <v>77</v>
      </c>
      <c r="E296" s="89">
        <f>SUM(E293:E295)</f>
        <v>12502.237000000001</v>
      </c>
      <c r="F296" s="89"/>
      <c r="G296" s="87">
        <f t="shared" ref="G296:H296" si="82">SUM(G293:G295)</f>
        <v>40932.751599999996</v>
      </c>
      <c r="H296" s="87">
        <f t="shared" si="82"/>
        <v>314446.71500000003</v>
      </c>
      <c r="I296" s="87"/>
      <c r="J296" s="87"/>
      <c r="K296" s="87"/>
      <c r="L296" s="122"/>
      <c r="M296" s="122"/>
      <c r="N296" s="122"/>
      <c r="O296" s="122"/>
      <c r="P296" s="87">
        <v>32980.07</v>
      </c>
      <c r="Q296" s="76"/>
      <c r="R296" s="77"/>
      <c r="S296" s="50"/>
    </row>
    <row r="297" spans="1:20" s="2" customFormat="1" ht="19.5" customHeight="1" x14ac:dyDescent="0.25">
      <c r="A297" s="20"/>
      <c r="B297" s="129"/>
      <c r="C297" s="131" t="s">
        <v>42</v>
      </c>
      <c r="D297" s="99" t="s">
        <v>78</v>
      </c>
      <c r="E297" s="93">
        <v>225.04</v>
      </c>
      <c r="F297" s="94">
        <v>3.45</v>
      </c>
      <c r="G297" s="94">
        <f>E297*F297</f>
        <v>776.38800000000003</v>
      </c>
      <c r="H297" s="94">
        <f>E297*45</f>
        <v>10126.799999999999</v>
      </c>
      <c r="I297" s="94"/>
      <c r="J297" s="94"/>
      <c r="K297" s="94"/>
      <c r="L297" s="129"/>
      <c r="M297" s="129"/>
      <c r="N297" s="129"/>
      <c r="O297" s="129"/>
      <c r="P297" s="94">
        <v>48379.39</v>
      </c>
      <c r="Q297" s="73"/>
      <c r="R297" s="74"/>
      <c r="S297" s="47"/>
    </row>
    <row r="298" spans="1:20" s="2" customFormat="1" ht="43.5" customHeight="1" x14ac:dyDescent="0.25">
      <c r="A298" s="18"/>
      <c r="B298" s="122"/>
      <c r="C298" s="132" t="s">
        <v>42</v>
      </c>
      <c r="D298" s="100" t="s">
        <v>79</v>
      </c>
      <c r="E298" s="89">
        <f>SUM(E296:E297)</f>
        <v>12727.277000000002</v>
      </c>
      <c r="F298" s="89"/>
      <c r="G298" s="87">
        <f t="shared" ref="G298:H298" si="83">SUM(G296:G297)</f>
        <v>41709.139599999995</v>
      </c>
      <c r="H298" s="87">
        <f t="shared" si="83"/>
        <v>324573.51500000001</v>
      </c>
      <c r="I298" s="87"/>
      <c r="J298" s="87"/>
      <c r="K298" s="87"/>
      <c r="L298" s="122"/>
      <c r="M298" s="122"/>
      <c r="N298" s="122"/>
      <c r="O298" s="122"/>
      <c r="P298" s="87">
        <f>P296+P297</f>
        <v>81359.459999999992</v>
      </c>
      <c r="Q298" s="76"/>
      <c r="R298" s="77"/>
      <c r="S298" s="50"/>
    </row>
    <row r="299" spans="1:20" s="2" customFormat="1" ht="19.5" customHeight="1" x14ac:dyDescent="0.25">
      <c r="A299" s="20"/>
      <c r="B299" s="129"/>
      <c r="C299" s="131" t="s">
        <v>42</v>
      </c>
      <c r="D299" s="99" t="s">
        <v>82</v>
      </c>
      <c r="E299" s="93">
        <v>156.44</v>
      </c>
      <c r="F299" s="94">
        <v>3.45</v>
      </c>
      <c r="G299" s="94">
        <f>E299*F299</f>
        <v>539.71800000000007</v>
      </c>
      <c r="H299" s="94">
        <f>E299*57</f>
        <v>8917.08</v>
      </c>
      <c r="I299" s="94"/>
      <c r="J299" s="94"/>
      <c r="K299" s="94"/>
      <c r="L299" s="129"/>
      <c r="M299" s="129"/>
      <c r="N299" s="129"/>
      <c r="O299" s="129"/>
      <c r="P299" s="94">
        <v>79512.7</v>
      </c>
      <c r="Q299" s="73"/>
      <c r="R299" s="74"/>
      <c r="S299" s="47"/>
    </row>
    <row r="300" spans="1:20" s="2" customFormat="1" ht="43.5" customHeight="1" x14ac:dyDescent="0.25">
      <c r="A300" s="18"/>
      <c r="B300" s="122"/>
      <c r="C300" s="132" t="s">
        <v>42</v>
      </c>
      <c r="D300" s="100" t="s">
        <v>81</v>
      </c>
      <c r="E300" s="89">
        <f>SUM(E298:E299)</f>
        <v>12883.717000000002</v>
      </c>
      <c r="F300" s="89"/>
      <c r="G300" s="87">
        <f t="shared" ref="G300:P300" si="84">SUM(G298:G299)</f>
        <v>42248.857599999996</v>
      </c>
      <c r="H300" s="87">
        <f t="shared" si="84"/>
        <v>333490.59500000003</v>
      </c>
      <c r="I300" s="87"/>
      <c r="J300" s="87"/>
      <c r="K300" s="87"/>
      <c r="L300" s="87"/>
      <c r="M300" s="87"/>
      <c r="N300" s="87"/>
      <c r="O300" s="87"/>
      <c r="P300" s="87">
        <f t="shared" si="84"/>
        <v>160872.15999999997</v>
      </c>
      <c r="Q300" s="76"/>
      <c r="R300" s="77"/>
      <c r="S300" s="50"/>
    </row>
    <row r="301" spans="1:20" s="2" customFormat="1" ht="23.25" customHeight="1" x14ac:dyDescent="0.25">
      <c r="A301" s="20"/>
      <c r="B301" s="129"/>
      <c r="C301" s="131" t="s">
        <v>42</v>
      </c>
      <c r="D301" s="99" t="s">
        <v>84</v>
      </c>
      <c r="E301" s="93">
        <v>283.64299999999997</v>
      </c>
      <c r="F301" s="94">
        <v>3.45</v>
      </c>
      <c r="G301" s="94">
        <f>E301*F301</f>
        <v>978.56835000000001</v>
      </c>
      <c r="H301" s="94">
        <f>E301*57</f>
        <v>16167.650999999998</v>
      </c>
      <c r="I301" s="94"/>
      <c r="J301" s="94"/>
      <c r="K301" s="94"/>
      <c r="L301" s="94"/>
      <c r="M301" s="94"/>
      <c r="N301" s="94"/>
      <c r="O301" s="94"/>
      <c r="P301" s="94">
        <v>52080</v>
      </c>
      <c r="Q301" s="73"/>
      <c r="R301" s="74"/>
      <c r="S301" s="47"/>
    </row>
    <row r="302" spans="1:20" s="2" customFormat="1" ht="43.5" customHeight="1" x14ac:dyDescent="0.25">
      <c r="A302" s="18"/>
      <c r="B302" s="122"/>
      <c r="C302" s="132" t="s">
        <v>42</v>
      </c>
      <c r="D302" s="100" t="s">
        <v>86</v>
      </c>
      <c r="E302" s="89">
        <f>SUM(E300:E301)</f>
        <v>13167.360000000002</v>
      </c>
      <c r="F302" s="89"/>
      <c r="G302" s="87">
        <f t="shared" ref="G302:P302" si="85">SUM(G300:G301)</f>
        <v>43227.425949999997</v>
      </c>
      <c r="H302" s="87">
        <f t="shared" si="85"/>
        <v>349658.24600000004</v>
      </c>
      <c r="I302" s="87"/>
      <c r="J302" s="87"/>
      <c r="K302" s="87"/>
      <c r="L302" s="89"/>
      <c r="M302" s="89"/>
      <c r="N302" s="89"/>
      <c r="O302" s="89"/>
      <c r="P302" s="87">
        <f t="shared" si="85"/>
        <v>212952.15999999997</v>
      </c>
      <c r="Q302" s="87"/>
      <c r="R302" s="87"/>
      <c r="S302" s="87"/>
      <c r="T302" s="211"/>
    </row>
    <row r="303" spans="1:20" s="2" customFormat="1" ht="25.5" customHeight="1" x14ac:dyDescent="0.25">
      <c r="A303" s="20"/>
      <c r="B303" s="129"/>
      <c r="C303" s="131" t="s">
        <v>42</v>
      </c>
      <c r="D303" s="99" t="s">
        <v>89</v>
      </c>
      <c r="E303" s="93">
        <v>460.5</v>
      </c>
      <c r="F303" s="94">
        <v>3.45</v>
      </c>
      <c r="G303" s="94">
        <f>E303*F303</f>
        <v>1588.7250000000001</v>
      </c>
      <c r="H303" s="94">
        <f>E303*57</f>
        <v>26248.5</v>
      </c>
      <c r="I303" s="94"/>
      <c r="J303" s="94"/>
      <c r="K303" s="94"/>
      <c r="L303" s="94"/>
      <c r="M303" s="94"/>
      <c r="N303" s="93"/>
      <c r="O303" s="93"/>
      <c r="P303" s="94">
        <v>0</v>
      </c>
      <c r="Q303" s="94"/>
      <c r="R303" s="215"/>
      <c r="S303" s="94"/>
      <c r="T303" s="211"/>
    </row>
    <row r="304" spans="1:20" s="2" customFormat="1" ht="39" customHeight="1" x14ac:dyDescent="0.25">
      <c r="A304" s="20"/>
      <c r="B304" s="129"/>
      <c r="C304" s="131" t="s">
        <v>45</v>
      </c>
      <c r="D304" s="104"/>
      <c r="E304" s="93" t="s">
        <v>91</v>
      </c>
      <c r="F304" s="93"/>
      <c r="G304" s="94"/>
      <c r="H304" s="94"/>
      <c r="I304" s="94"/>
      <c r="J304" s="94"/>
      <c r="K304" s="94"/>
      <c r="L304" s="93"/>
      <c r="M304" s="93"/>
      <c r="N304" s="93"/>
      <c r="O304" s="93"/>
      <c r="P304" s="94"/>
      <c r="Q304" s="94"/>
      <c r="R304" s="215"/>
      <c r="S304" s="94"/>
      <c r="T304" s="211"/>
    </row>
    <row r="305" spans="1:20" s="2" customFormat="1" ht="43.5" customHeight="1" x14ac:dyDescent="0.25">
      <c r="A305" s="18"/>
      <c r="B305" s="122"/>
      <c r="C305" s="132" t="s">
        <v>42</v>
      </c>
      <c r="D305" s="100" t="s">
        <v>90</v>
      </c>
      <c r="E305" s="89">
        <v>13636.24</v>
      </c>
      <c r="F305" s="89"/>
      <c r="G305" s="87">
        <f t="shared" ref="G305:P305" si="86">SUM(G302:G304)</f>
        <v>44816.150949999996</v>
      </c>
      <c r="H305" s="87">
        <f t="shared" si="86"/>
        <v>375906.74600000004</v>
      </c>
      <c r="I305" s="87"/>
      <c r="J305" s="87"/>
      <c r="K305" s="87"/>
      <c r="L305" s="87"/>
      <c r="M305" s="87"/>
      <c r="N305" s="87"/>
      <c r="O305" s="87"/>
      <c r="P305" s="87">
        <f t="shared" si="86"/>
        <v>212952.15999999997</v>
      </c>
      <c r="Q305" s="87"/>
      <c r="R305" s="210"/>
      <c r="S305" s="87"/>
      <c r="T305" s="211"/>
    </row>
    <row r="306" spans="1:20" s="2" customFormat="1" ht="29.25" customHeight="1" x14ac:dyDescent="0.25">
      <c r="A306" s="20"/>
      <c r="B306" s="129"/>
      <c r="C306" s="131" t="s">
        <v>42</v>
      </c>
      <c r="D306" s="99" t="s">
        <v>93</v>
      </c>
      <c r="E306" s="93">
        <v>409.66</v>
      </c>
      <c r="F306" s="94">
        <v>3.45</v>
      </c>
      <c r="G306" s="94">
        <f>SUM(E306*F306)</f>
        <v>1413.3270000000002</v>
      </c>
      <c r="H306" s="94">
        <f>E306*57</f>
        <v>23350.620000000003</v>
      </c>
      <c r="I306" s="94"/>
      <c r="J306" s="94"/>
      <c r="K306" s="94"/>
      <c r="L306" s="94"/>
      <c r="M306" s="94"/>
      <c r="N306" s="94"/>
      <c r="O306" s="94"/>
      <c r="P306" s="94">
        <v>0</v>
      </c>
      <c r="Q306" s="94"/>
      <c r="R306" s="215"/>
      <c r="S306" s="94"/>
      <c r="T306" s="211"/>
    </row>
    <row r="307" spans="1:20" s="2" customFormat="1" ht="43.5" customHeight="1" x14ac:dyDescent="0.25">
      <c r="A307" s="18"/>
      <c r="B307" s="122"/>
      <c r="C307" s="132" t="s">
        <v>42</v>
      </c>
      <c r="D307" s="100" t="s">
        <v>94</v>
      </c>
      <c r="E307" s="89">
        <f>SUM(E305:E306)</f>
        <v>14045.9</v>
      </c>
      <c r="F307" s="89"/>
      <c r="G307" s="87">
        <f t="shared" ref="G307:H307" si="87">SUM(G305:G306)</f>
        <v>46229.477949999993</v>
      </c>
      <c r="H307" s="87">
        <f t="shared" si="87"/>
        <v>399257.36600000004</v>
      </c>
      <c r="I307" s="87"/>
      <c r="J307" s="87"/>
      <c r="K307" s="87"/>
      <c r="L307" s="87"/>
      <c r="M307" s="87"/>
      <c r="N307" s="87"/>
      <c r="O307" s="87"/>
      <c r="P307" s="87">
        <v>212952.16</v>
      </c>
      <c r="Q307" s="87"/>
      <c r="R307" s="210"/>
      <c r="S307" s="87"/>
      <c r="T307" s="211"/>
    </row>
    <row r="308" spans="1:20" s="2" customFormat="1" ht="90" customHeight="1" x14ac:dyDescent="0.25">
      <c r="A308" s="20"/>
      <c r="B308" s="129"/>
      <c r="C308" s="131" t="s">
        <v>42</v>
      </c>
      <c r="D308" s="99" t="s">
        <v>96</v>
      </c>
      <c r="E308" s="93">
        <v>355.8</v>
      </c>
      <c r="F308" s="94">
        <v>5.6</v>
      </c>
      <c r="G308" s="94">
        <f>SUM(E308*F308)</f>
        <v>1992.48</v>
      </c>
      <c r="H308" s="94">
        <v>32576.400000000001</v>
      </c>
      <c r="I308" s="94"/>
      <c r="J308" s="94"/>
      <c r="K308" s="94"/>
      <c r="L308" s="94"/>
      <c r="M308" s="94"/>
      <c r="N308" s="94"/>
      <c r="O308" s="94"/>
      <c r="P308" s="220" t="s">
        <v>131</v>
      </c>
      <c r="Q308" s="94"/>
      <c r="R308" s="215"/>
      <c r="S308" s="217" t="s">
        <v>105</v>
      </c>
      <c r="T308" s="211"/>
    </row>
    <row r="309" spans="1:20" s="2" customFormat="1" ht="43.5" customHeight="1" x14ac:dyDescent="0.25">
      <c r="A309" s="18"/>
      <c r="B309" s="122"/>
      <c r="C309" s="132" t="s">
        <v>42</v>
      </c>
      <c r="D309" s="100" t="s">
        <v>97</v>
      </c>
      <c r="E309" s="89">
        <f>SUM(E307:E308)</f>
        <v>14401.699999999999</v>
      </c>
      <c r="F309" s="89"/>
      <c r="G309" s="87">
        <f t="shared" ref="G309:H309" si="88">SUM(G307:G308)</f>
        <v>48221.957949999996</v>
      </c>
      <c r="H309" s="87">
        <f t="shared" si="88"/>
        <v>431833.76600000006</v>
      </c>
      <c r="I309" s="87"/>
      <c r="J309" s="87"/>
      <c r="K309" s="87"/>
      <c r="L309" s="87"/>
      <c r="M309" s="87"/>
      <c r="N309" s="87"/>
      <c r="O309" s="87"/>
      <c r="P309" s="221" t="s">
        <v>111</v>
      </c>
      <c r="Q309" s="87"/>
      <c r="R309" s="210"/>
      <c r="S309" s="87"/>
      <c r="T309" s="211"/>
    </row>
    <row r="310" spans="1:20" s="2" customFormat="1" ht="43.5" customHeight="1" x14ac:dyDescent="0.25">
      <c r="A310" s="20"/>
      <c r="B310" s="129"/>
      <c r="C310" s="131" t="s">
        <v>42</v>
      </c>
      <c r="D310" s="99" t="s">
        <v>119</v>
      </c>
      <c r="E310" s="93">
        <v>438.03</v>
      </c>
      <c r="F310" s="94">
        <v>5.6</v>
      </c>
      <c r="G310" s="94">
        <v>2453.14</v>
      </c>
      <c r="H310" s="94" t="s">
        <v>133</v>
      </c>
      <c r="I310" s="94"/>
      <c r="J310" s="94"/>
      <c r="K310" s="94"/>
      <c r="L310" s="94"/>
      <c r="M310" s="94"/>
      <c r="N310" s="94"/>
      <c r="O310" s="94"/>
      <c r="P310" s="220" t="s">
        <v>122</v>
      </c>
      <c r="Q310" s="94"/>
      <c r="R310" s="215"/>
      <c r="S310" s="94"/>
      <c r="T310" s="211"/>
    </row>
    <row r="311" spans="1:20" s="2" customFormat="1" ht="43.5" customHeight="1" x14ac:dyDescent="0.25">
      <c r="A311" s="18"/>
      <c r="B311" s="122"/>
      <c r="C311" s="132" t="s">
        <v>42</v>
      </c>
      <c r="D311" s="100" t="s">
        <v>120</v>
      </c>
      <c r="E311" s="89">
        <f>SUM(E309:E310)</f>
        <v>14839.73</v>
      </c>
      <c r="F311" s="89"/>
      <c r="G311" s="87">
        <f t="shared" ref="G311" si="89">SUM(G309:G310)</f>
        <v>50675.097949999996</v>
      </c>
      <c r="H311" s="87">
        <v>462059.91</v>
      </c>
      <c r="I311" s="87"/>
      <c r="J311" s="87"/>
      <c r="K311" s="87"/>
      <c r="L311" s="87"/>
      <c r="M311" s="87"/>
      <c r="N311" s="87"/>
      <c r="O311" s="87"/>
      <c r="P311" s="221" t="s">
        <v>138</v>
      </c>
      <c r="Q311" s="87"/>
      <c r="R311" s="210"/>
      <c r="S311" s="87"/>
      <c r="T311" s="211"/>
    </row>
    <row r="312" spans="1:20" s="2" customFormat="1" ht="30.75" customHeight="1" x14ac:dyDescent="0.25">
      <c r="A312" s="20"/>
      <c r="B312" s="129"/>
      <c r="C312" s="131" t="s">
        <v>42</v>
      </c>
      <c r="D312" s="99" t="s">
        <v>139</v>
      </c>
      <c r="E312" s="93">
        <v>461</v>
      </c>
      <c r="F312" s="94">
        <v>5.6</v>
      </c>
      <c r="G312" s="94">
        <f>SUM(E312*F312)</f>
        <v>2581.6</v>
      </c>
      <c r="H312" s="94">
        <f>SUM(E312*69)</f>
        <v>31809</v>
      </c>
      <c r="I312" s="94"/>
      <c r="J312" s="94"/>
      <c r="K312" s="94"/>
      <c r="L312" s="94"/>
      <c r="M312" s="94"/>
      <c r="N312" s="94"/>
      <c r="O312" s="94"/>
      <c r="P312" s="220">
        <v>0</v>
      </c>
      <c r="Q312" s="94"/>
      <c r="R312" s="215"/>
      <c r="S312" s="94"/>
      <c r="T312" s="211"/>
    </row>
    <row r="313" spans="1:20" s="2" customFormat="1" ht="43.5" customHeight="1" x14ac:dyDescent="0.25">
      <c r="A313" s="18"/>
      <c r="B313" s="122"/>
      <c r="C313" s="132" t="s">
        <v>42</v>
      </c>
      <c r="D313" s="100" t="s">
        <v>140</v>
      </c>
      <c r="E313" s="89">
        <f>SUM(E311:E312)</f>
        <v>15300.73</v>
      </c>
      <c r="F313" s="89"/>
      <c r="G313" s="87">
        <f t="shared" ref="G313:H313" si="90">SUM(G311:G312)</f>
        <v>53256.697949999994</v>
      </c>
      <c r="H313" s="87">
        <f t="shared" si="90"/>
        <v>493868.91</v>
      </c>
      <c r="I313" s="87"/>
      <c r="J313" s="87"/>
      <c r="K313" s="87"/>
      <c r="L313" s="87"/>
      <c r="M313" s="87"/>
      <c r="N313" s="87"/>
      <c r="O313" s="87"/>
      <c r="P313" s="221" t="s">
        <v>138</v>
      </c>
      <c r="Q313" s="87"/>
      <c r="R313" s="210"/>
      <c r="S313" s="87"/>
      <c r="T313" s="211"/>
    </row>
    <row r="314" spans="1:20" s="2" customFormat="1" ht="29.25" customHeight="1" x14ac:dyDescent="0.25">
      <c r="A314" s="20"/>
      <c r="B314" s="129"/>
      <c r="C314" s="131" t="s">
        <v>42</v>
      </c>
      <c r="D314" s="99" t="s">
        <v>144</v>
      </c>
      <c r="E314" s="93">
        <v>395.64</v>
      </c>
      <c r="F314" s="94">
        <v>5.6</v>
      </c>
      <c r="G314" s="94">
        <v>2215.5839999999998</v>
      </c>
      <c r="H314" s="94">
        <v>27299.16</v>
      </c>
      <c r="I314" s="94"/>
      <c r="J314" s="94"/>
      <c r="K314" s="94"/>
      <c r="L314" s="94"/>
      <c r="M314" s="94"/>
      <c r="N314" s="94"/>
      <c r="O314" s="94"/>
      <c r="P314" s="220" t="s">
        <v>148</v>
      </c>
      <c r="Q314" s="94"/>
      <c r="R314" s="215"/>
      <c r="S314" s="94"/>
      <c r="T314" s="211"/>
    </row>
    <row r="315" spans="1:20" s="2" customFormat="1" ht="43.5" customHeight="1" x14ac:dyDescent="0.25">
      <c r="A315" s="18"/>
      <c r="B315" s="122"/>
      <c r="C315" s="132" t="s">
        <v>42</v>
      </c>
      <c r="D315" s="100" t="s">
        <v>145</v>
      </c>
      <c r="E315" s="89">
        <f>SUM(E313:E314)</f>
        <v>15696.369999999999</v>
      </c>
      <c r="F315" s="89"/>
      <c r="G315" s="87">
        <f t="shared" ref="G315:H315" si="91">SUM(G313:G314)</f>
        <v>55472.281949999997</v>
      </c>
      <c r="H315" s="87">
        <f t="shared" si="91"/>
        <v>521168.06999999995</v>
      </c>
      <c r="I315" s="87"/>
      <c r="J315" s="87"/>
      <c r="K315" s="87"/>
      <c r="L315" s="87"/>
      <c r="M315" s="87"/>
      <c r="N315" s="87"/>
      <c r="O315" s="87"/>
      <c r="P315" s="221" t="s">
        <v>149</v>
      </c>
      <c r="Q315" s="87"/>
      <c r="R315" s="210"/>
      <c r="S315" s="87"/>
      <c r="T315" s="211"/>
    </row>
    <row r="316" spans="1:20" s="2" customFormat="1" ht="66" customHeight="1" x14ac:dyDescent="0.25">
      <c r="A316" s="20"/>
      <c r="B316" s="129"/>
      <c r="C316" s="131" t="s">
        <v>42</v>
      </c>
      <c r="D316" s="99" t="s">
        <v>165</v>
      </c>
      <c r="E316" s="93">
        <v>346.86</v>
      </c>
      <c r="F316" s="94">
        <v>5.6</v>
      </c>
      <c r="G316" s="94">
        <f>E316*F316</f>
        <v>1942.4159999999999</v>
      </c>
      <c r="H316" s="94">
        <f>E316*82</f>
        <v>28442.52</v>
      </c>
      <c r="I316" s="94"/>
      <c r="J316" s="94"/>
      <c r="K316" s="94"/>
      <c r="L316" s="94"/>
      <c r="M316" s="94"/>
      <c r="N316" s="94"/>
      <c r="O316" s="94"/>
      <c r="P316" s="220" t="s">
        <v>176</v>
      </c>
      <c r="Q316" s="94"/>
      <c r="R316" s="215"/>
      <c r="S316" s="94"/>
      <c r="T316" s="211"/>
    </row>
    <row r="317" spans="1:20" s="2" customFormat="1" ht="43.5" customHeight="1" x14ac:dyDescent="0.25">
      <c r="A317" s="18"/>
      <c r="B317" s="122"/>
      <c r="C317" s="132" t="s">
        <v>42</v>
      </c>
      <c r="D317" s="100" t="s">
        <v>167</v>
      </c>
      <c r="E317" s="89">
        <f>SUM(E315:E316)</f>
        <v>16043.23</v>
      </c>
      <c r="F317" s="89"/>
      <c r="G317" s="87">
        <f t="shared" ref="G317:H317" si="92">SUM(G315:G316)</f>
        <v>57414.697949999994</v>
      </c>
      <c r="H317" s="87">
        <f t="shared" si="92"/>
        <v>549610.59</v>
      </c>
      <c r="I317" s="87"/>
      <c r="J317" s="87"/>
      <c r="K317" s="87"/>
      <c r="L317" s="87"/>
      <c r="M317" s="87"/>
      <c r="N317" s="87"/>
      <c r="O317" s="87"/>
      <c r="P317" s="221" t="s">
        <v>177</v>
      </c>
      <c r="Q317" s="87"/>
      <c r="R317" s="210"/>
      <c r="S317" s="87"/>
      <c r="T317" s="211"/>
    </row>
    <row r="318" spans="1:20" s="2" customFormat="1" ht="27.75" customHeight="1" x14ac:dyDescent="0.25">
      <c r="A318" s="20"/>
      <c r="B318" s="129"/>
      <c r="C318" s="131" t="s">
        <v>42</v>
      </c>
      <c r="D318" s="99" t="s">
        <v>166</v>
      </c>
      <c r="E318" s="93">
        <v>430.8</v>
      </c>
      <c r="F318" s="94">
        <v>5.6</v>
      </c>
      <c r="G318" s="94">
        <f>144.08*5.6</f>
        <v>806.84800000000007</v>
      </c>
      <c r="H318" s="94">
        <f>144.08*82</f>
        <v>11814.560000000001</v>
      </c>
      <c r="I318" s="94">
        <f>286.72*5.6</f>
        <v>1605.6320000000001</v>
      </c>
      <c r="J318" s="94">
        <f>286.72*82</f>
        <v>23511.040000000001</v>
      </c>
      <c r="K318" s="94"/>
      <c r="L318" s="94"/>
      <c r="M318" s="94"/>
      <c r="N318" s="94"/>
      <c r="O318" s="94"/>
      <c r="P318" s="220">
        <v>0</v>
      </c>
      <c r="Q318" s="94"/>
      <c r="R318" s="215"/>
      <c r="S318" s="94"/>
      <c r="T318" s="211"/>
    </row>
    <row r="319" spans="1:20" s="2" customFormat="1" ht="43.5" customHeight="1" x14ac:dyDescent="0.25">
      <c r="A319" s="18"/>
      <c r="B319" s="122"/>
      <c r="C319" s="132" t="s">
        <v>42</v>
      </c>
      <c r="D319" s="100" t="s">
        <v>168</v>
      </c>
      <c r="E319" s="89">
        <f>SUM(E317:E318)</f>
        <v>16474.03</v>
      </c>
      <c r="F319" s="89"/>
      <c r="G319" s="87">
        <f t="shared" ref="G319:J319" si="93">SUM(G317:G318)</f>
        <v>58221.545949999992</v>
      </c>
      <c r="H319" s="87">
        <f t="shared" si="93"/>
        <v>561425.15</v>
      </c>
      <c r="I319" s="87">
        <f t="shared" si="93"/>
        <v>1605.6320000000001</v>
      </c>
      <c r="J319" s="87">
        <f t="shared" si="93"/>
        <v>23511.040000000001</v>
      </c>
      <c r="K319" s="87"/>
      <c r="L319" s="87"/>
      <c r="M319" s="87"/>
      <c r="N319" s="87"/>
      <c r="O319" s="87"/>
      <c r="P319" s="221" t="s">
        <v>177</v>
      </c>
      <c r="Q319" s="87"/>
      <c r="R319" s="210"/>
      <c r="S319" s="87"/>
      <c r="T319" s="211"/>
    </row>
    <row r="320" spans="1:20" s="236" customFormat="1" ht="43.5" customHeight="1" x14ac:dyDescent="0.25">
      <c r="A320" s="230"/>
      <c r="B320" s="237"/>
      <c r="C320" s="131" t="s">
        <v>42</v>
      </c>
      <c r="D320" s="99" t="s">
        <v>195</v>
      </c>
      <c r="E320" s="231">
        <v>463.52</v>
      </c>
      <c r="F320" s="94">
        <v>5.6</v>
      </c>
      <c r="G320" s="94">
        <f>286.72*5.6</f>
        <v>1605.6320000000001</v>
      </c>
      <c r="H320" s="94">
        <f>286.72*82</f>
        <v>23511.040000000001</v>
      </c>
      <c r="I320" s="232">
        <f>E320*5.6</f>
        <v>2595.7119999999995</v>
      </c>
      <c r="J320" s="232">
        <f>E320*82</f>
        <v>38008.639999999999</v>
      </c>
      <c r="K320" s="232"/>
      <c r="L320" s="232"/>
      <c r="M320" s="232"/>
      <c r="N320" s="232"/>
      <c r="O320" s="232"/>
      <c r="P320" s="220">
        <v>0</v>
      </c>
      <c r="Q320" s="232"/>
      <c r="R320" s="245"/>
      <c r="S320" s="232"/>
      <c r="T320" s="246"/>
    </row>
    <row r="321" spans="1:20" s="2" customFormat="1" ht="43.5" customHeight="1" x14ac:dyDescent="0.25">
      <c r="A321" s="18"/>
      <c r="B321" s="122"/>
      <c r="C321" s="132" t="s">
        <v>42</v>
      </c>
      <c r="D321" s="100" t="s">
        <v>196</v>
      </c>
      <c r="E321" s="89">
        <f>SUM(E319:E320)</f>
        <v>16937.55</v>
      </c>
      <c r="F321" s="89"/>
      <c r="G321" s="87">
        <f>SUM(G319:G320)</f>
        <v>59827.17794999999</v>
      </c>
      <c r="H321" s="87">
        <f>SUM(H319:H320)</f>
        <v>584936.19000000006</v>
      </c>
      <c r="I321" s="87">
        <v>2595.71</v>
      </c>
      <c r="J321" s="87">
        <v>38008.639999999999</v>
      </c>
      <c r="K321" s="87"/>
      <c r="L321" s="87"/>
      <c r="M321" s="87"/>
      <c r="N321" s="87"/>
      <c r="O321" s="87"/>
      <c r="P321" s="221" t="s">
        <v>177</v>
      </c>
      <c r="Q321" s="87"/>
      <c r="R321" s="210"/>
      <c r="S321" s="87"/>
      <c r="T321" s="211"/>
    </row>
    <row r="322" spans="1:20" s="236" customFormat="1" ht="43.5" customHeight="1" x14ac:dyDescent="0.25">
      <c r="A322" s="230"/>
      <c r="B322" s="237"/>
      <c r="C322" s="131" t="s">
        <v>42</v>
      </c>
      <c r="D322" s="99" t="s">
        <v>201</v>
      </c>
      <c r="E322" s="231">
        <v>398.78</v>
      </c>
      <c r="F322" s="94">
        <v>5.6</v>
      </c>
      <c r="G322" s="232">
        <f>612.08*5.6</f>
        <v>3427.6480000000001</v>
      </c>
      <c r="H322" s="232">
        <f>612.08*82</f>
        <v>50190.560000000005</v>
      </c>
      <c r="I322" s="232">
        <f>250.22*5.6</f>
        <v>1401.232</v>
      </c>
      <c r="J322" s="232">
        <f>250.22*82</f>
        <v>20518.04</v>
      </c>
      <c r="K322" s="232"/>
      <c r="L322" s="232"/>
      <c r="M322" s="232"/>
      <c r="N322" s="232"/>
      <c r="O322" s="232"/>
      <c r="P322" s="233" t="s">
        <v>203</v>
      </c>
      <c r="Q322" s="232"/>
      <c r="R322" s="245"/>
      <c r="S322" s="232"/>
      <c r="T322" s="246"/>
    </row>
    <row r="323" spans="1:20" s="2" customFormat="1" ht="43.5" customHeight="1" x14ac:dyDescent="0.25">
      <c r="A323" s="18"/>
      <c r="B323" s="122"/>
      <c r="C323" s="132" t="s">
        <v>42</v>
      </c>
      <c r="D323" s="100" t="s">
        <v>202</v>
      </c>
      <c r="E323" s="89">
        <f>SUM(E321:E322)</f>
        <v>17336.329999999998</v>
      </c>
      <c r="F323" s="89"/>
      <c r="G323" s="87">
        <f>SUM(G321:G322)</f>
        <v>63254.825949999991</v>
      </c>
      <c r="H323" s="87">
        <f>SUM(H321:H322)</f>
        <v>635126.75000000012</v>
      </c>
      <c r="I323" s="87">
        <v>1401.23</v>
      </c>
      <c r="J323" s="87">
        <v>20518.04</v>
      </c>
      <c r="K323" s="87"/>
      <c r="L323" s="87"/>
      <c r="M323" s="87"/>
      <c r="N323" s="87"/>
      <c r="O323" s="87"/>
      <c r="P323" s="221" t="s">
        <v>204</v>
      </c>
      <c r="Q323" s="87"/>
      <c r="R323" s="210"/>
      <c r="S323" s="87"/>
      <c r="T323" s="211"/>
    </row>
    <row r="324" spans="1:20" s="236" customFormat="1" ht="43.5" customHeight="1" x14ac:dyDescent="0.25">
      <c r="A324" s="230"/>
      <c r="B324" s="237"/>
      <c r="C324" s="131" t="s">
        <v>42</v>
      </c>
      <c r="D324" s="99" t="s">
        <v>208</v>
      </c>
      <c r="E324" s="231">
        <v>310.33999999999997</v>
      </c>
      <c r="F324" s="231" t="s">
        <v>211</v>
      </c>
      <c r="G324" s="232"/>
      <c r="H324" s="232"/>
      <c r="I324" s="232">
        <f>310.34*5.6</f>
        <v>1737.9039999999998</v>
      </c>
      <c r="J324" s="232">
        <f>310.34*95</f>
        <v>29482.3</v>
      </c>
      <c r="K324" s="232"/>
      <c r="L324" s="232"/>
      <c r="M324" s="232"/>
      <c r="N324" s="232"/>
      <c r="O324" s="232"/>
      <c r="P324" s="233"/>
      <c r="Q324" s="232"/>
      <c r="R324" s="245"/>
      <c r="S324" s="232"/>
      <c r="T324" s="246"/>
    </row>
    <row r="325" spans="1:20" s="2" customFormat="1" ht="43.5" customHeight="1" x14ac:dyDescent="0.25">
      <c r="A325" s="18"/>
      <c r="B325" s="122"/>
      <c r="C325" s="132" t="s">
        <v>42</v>
      </c>
      <c r="D325" s="100" t="s">
        <v>209</v>
      </c>
      <c r="E325" s="89">
        <f>SUM(E323:E324)</f>
        <v>17646.669999999998</v>
      </c>
      <c r="F325" s="89"/>
      <c r="G325" s="87">
        <f>SUM(G323:G324)</f>
        <v>63254.825949999991</v>
      </c>
      <c r="H325" s="87">
        <f>SUM(H323:H324)</f>
        <v>635126.75000000012</v>
      </c>
      <c r="I325" s="87">
        <f>SUM(I323:I324)</f>
        <v>3139.134</v>
      </c>
      <c r="J325" s="87">
        <f>SUM(J323:J324)</f>
        <v>50000.34</v>
      </c>
      <c r="K325" s="87"/>
      <c r="L325" s="87"/>
      <c r="M325" s="87"/>
      <c r="N325" s="87"/>
      <c r="O325" s="87"/>
      <c r="P325" s="221" t="s">
        <v>212</v>
      </c>
      <c r="Q325" s="87"/>
      <c r="R325" s="210"/>
      <c r="S325" s="87"/>
      <c r="T325" s="211"/>
    </row>
    <row r="326" spans="1:20" s="236" customFormat="1" ht="43.5" customHeight="1" x14ac:dyDescent="0.25">
      <c r="A326" s="230"/>
      <c r="B326" s="237"/>
      <c r="C326" s="131" t="s">
        <v>42</v>
      </c>
      <c r="D326" s="99" t="s">
        <v>216</v>
      </c>
      <c r="E326" s="231">
        <v>432.88</v>
      </c>
      <c r="F326" s="231" t="s">
        <v>211</v>
      </c>
      <c r="G326" s="232">
        <f>447.06*5.6</f>
        <v>2503.5360000000001</v>
      </c>
      <c r="H326" s="232">
        <f>20518.04+196.84*95</f>
        <v>39217.839999999997</v>
      </c>
      <c r="I326" s="232">
        <f>546.38*5.6</f>
        <v>3059.7279999999996</v>
      </c>
      <c r="J326" s="232">
        <f>546.38*95</f>
        <v>51906.1</v>
      </c>
      <c r="K326" s="232"/>
      <c r="L326" s="232"/>
      <c r="M326" s="232"/>
      <c r="N326" s="232"/>
      <c r="O326" s="232"/>
      <c r="P326" s="233"/>
      <c r="Q326" s="232"/>
      <c r="R326" s="245"/>
      <c r="S326" s="232"/>
      <c r="T326" s="246"/>
    </row>
    <row r="327" spans="1:20" s="2" customFormat="1" ht="43.5" customHeight="1" x14ac:dyDescent="0.25">
      <c r="A327" s="18"/>
      <c r="B327" s="122"/>
      <c r="C327" s="132" t="s">
        <v>42</v>
      </c>
      <c r="D327" s="100" t="s">
        <v>217</v>
      </c>
      <c r="E327" s="89">
        <f>SUM(E325:E326)</f>
        <v>18079.55</v>
      </c>
      <c r="F327" s="89"/>
      <c r="G327" s="87">
        <f>SUM(G325:G326)</f>
        <v>65758.361949999991</v>
      </c>
      <c r="H327" s="87">
        <f>SUM(H325:H326)</f>
        <v>674344.59000000008</v>
      </c>
      <c r="I327" s="87">
        <f>546.38*5.6</f>
        <v>3059.7279999999996</v>
      </c>
      <c r="J327" s="87">
        <f>546.38*95</f>
        <v>51906.1</v>
      </c>
      <c r="K327" s="87"/>
      <c r="L327" s="87"/>
      <c r="M327" s="87"/>
      <c r="N327" s="87"/>
      <c r="O327" s="87"/>
      <c r="P327" s="221" t="s">
        <v>212</v>
      </c>
      <c r="Q327" s="87"/>
      <c r="R327" s="210"/>
      <c r="S327" s="87"/>
      <c r="T327" s="211"/>
    </row>
    <row r="328" spans="1:20" x14ac:dyDescent="0.25">
      <c r="A328" s="23"/>
      <c r="B328" s="23"/>
      <c r="C328" s="23"/>
      <c r="D328" s="36"/>
      <c r="E328" s="53"/>
      <c r="F328" s="35"/>
      <c r="G328" s="35"/>
      <c r="H328" s="35"/>
      <c r="I328" s="36"/>
      <c r="J328" s="36"/>
      <c r="K328" s="36"/>
      <c r="L328" s="36"/>
      <c r="M328" s="36"/>
      <c r="N328" s="36"/>
      <c r="O328" s="36"/>
      <c r="P328" s="36"/>
      <c r="Q328" s="36"/>
      <c r="R328" s="72"/>
      <c r="S328" s="55"/>
    </row>
    <row r="329" spans="1:20" ht="30" customHeight="1" x14ac:dyDescent="0.25">
      <c r="A329" s="20"/>
      <c r="B329" s="115" t="s">
        <v>40</v>
      </c>
      <c r="C329" s="131" t="s">
        <v>44</v>
      </c>
      <c r="D329" s="163">
        <v>2011</v>
      </c>
      <c r="E329" s="166">
        <v>6963.16</v>
      </c>
      <c r="F329" s="142">
        <v>3.18</v>
      </c>
      <c r="G329" s="94">
        <f>E329*F329</f>
        <v>22142.8488</v>
      </c>
      <c r="H329" s="94">
        <v>20889.45</v>
      </c>
      <c r="I329" s="94"/>
      <c r="J329" s="94"/>
      <c r="K329" s="94"/>
      <c r="L329" s="129"/>
      <c r="M329" s="129"/>
      <c r="N329" s="129"/>
      <c r="O329" s="129"/>
      <c r="P329" s="94">
        <v>0</v>
      </c>
      <c r="Q329" s="73"/>
      <c r="R329" s="74"/>
      <c r="S329" s="51"/>
    </row>
    <row r="330" spans="1:20" ht="25.5" x14ac:dyDescent="0.25">
      <c r="A330" s="16"/>
      <c r="B330" s="119"/>
      <c r="C330" s="136" t="s">
        <v>44</v>
      </c>
      <c r="D330" s="160">
        <v>2012</v>
      </c>
      <c r="E330" s="161">
        <v>6704.98</v>
      </c>
      <c r="F330" s="141">
        <v>3.18</v>
      </c>
      <c r="G330" s="94">
        <f>E330*F330</f>
        <v>21321.8364</v>
      </c>
      <c r="H330" s="94">
        <v>60344.82</v>
      </c>
      <c r="I330" s="84"/>
      <c r="J330" s="84"/>
      <c r="K330" s="94"/>
      <c r="L330" s="119"/>
      <c r="M330" s="119"/>
      <c r="N330" s="119"/>
      <c r="O330" s="119"/>
      <c r="P330" s="94">
        <v>0</v>
      </c>
      <c r="Q330" s="38"/>
      <c r="R330" s="75"/>
      <c r="S330" s="51"/>
    </row>
    <row r="331" spans="1:20" ht="39.75" customHeight="1" x14ac:dyDescent="0.25">
      <c r="A331" s="18"/>
      <c r="B331" s="122"/>
      <c r="C331" s="132" t="s">
        <v>44</v>
      </c>
      <c r="D331" s="96" t="s">
        <v>25</v>
      </c>
      <c r="E331" s="89">
        <f>SUM(E329:E330)</f>
        <v>13668.14</v>
      </c>
      <c r="F331" s="89"/>
      <c r="G331" s="87">
        <f t="shared" ref="G331:H331" si="94">SUM(G329:G330)</f>
        <v>43464.6852</v>
      </c>
      <c r="H331" s="87">
        <f t="shared" si="94"/>
        <v>81234.27</v>
      </c>
      <c r="I331" s="87"/>
      <c r="J331" s="87"/>
      <c r="K331" s="87"/>
      <c r="L331" s="122"/>
      <c r="M331" s="122"/>
      <c r="N331" s="122"/>
      <c r="O331" s="122"/>
      <c r="P331" s="87">
        <v>0</v>
      </c>
      <c r="Q331" s="76"/>
      <c r="R331" s="77"/>
      <c r="S331" s="50"/>
    </row>
    <row r="332" spans="1:20" ht="25.5" x14ac:dyDescent="0.25">
      <c r="A332" s="16"/>
      <c r="B332" s="119"/>
      <c r="C332" s="136" t="s">
        <v>44</v>
      </c>
      <c r="D332" s="120">
        <v>2013</v>
      </c>
      <c r="E332" s="161">
        <v>6874.55</v>
      </c>
      <c r="F332" s="141">
        <v>3.18</v>
      </c>
      <c r="G332" s="94">
        <f>E332*F332</f>
        <v>21861.069000000003</v>
      </c>
      <c r="H332" s="94">
        <v>103118.25</v>
      </c>
      <c r="I332" s="84"/>
      <c r="J332" s="84"/>
      <c r="K332" s="94"/>
      <c r="L332" s="119"/>
      <c r="M332" s="119"/>
      <c r="N332" s="119"/>
      <c r="O332" s="119"/>
      <c r="P332" s="94">
        <v>0</v>
      </c>
      <c r="Q332" s="38"/>
      <c r="R332" s="75"/>
      <c r="S332" s="51"/>
    </row>
    <row r="333" spans="1:20" ht="41.25" customHeight="1" x14ac:dyDescent="0.25">
      <c r="A333" s="18"/>
      <c r="B333" s="122"/>
      <c r="C333" s="132" t="s">
        <v>44</v>
      </c>
      <c r="D333" s="96" t="s">
        <v>38</v>
      </c>
      <c r="E333" s="89">
        <f>SUM(E331:E332)</f>
        <v>20542.689999999999</v>
      </c>
      <c r="F333" s="89"/>
      <c r="G333" s="87">
        <f t="shared" ref="G333:H333" si="95">SUM(G331:G332)</f>
        <v>65325.754200000003</v>
      </c>
      <c r="H333" s="87">
        <f t="shared" si="95"/>
        <v>184352.52000000002</v>
      </c>
      <c r="I333" s="87"/>
      <c r="J333" s="87"/>
      <c r="K333" s="87"/>
      <c r="L333" s="122"/>
      <c r="M333" s="122"/>
      <c r="N333" s="122"/>
      <c r="O333" s="122"/>
      <c r="P333" s="87">
        <v>0</v>
      </c>
      <c r="Q333" s="76"/>
      <c r="R333" s="77"/>
      <c r="S333" s="50"/>
    </row>
    <row r="334" spans="1:20" ht="25.5" x14ac:dyDescent="0.25">
      <c r="A334" s="16"/>
      <c r="B334" s="119"/>
      <c r="C334" s="136" t="s">
        <v>44</v>
      </c>
      <c r="D334" s="120">
        <v>2014</v>
      </c>
      <c r="E334" s="161">
        <v>6796.69</v>
      </c>
      <c r="F334" s="141">
        <v>3.18</v>
      </c>
      <c r="G334" s="94">
        <f>E334*F334</f>
        <v>21613.474200000001</v>
      </c>
      <c r="H334" s="94">
        <v>149527.18</v>
      </c>
      <c r="I334" s="84"/>
      <c r="J334" s="84"/>
      <c r="K334" s="94"/>
      <c r="L334" s="119"/>
      <c r="M334" s="119"/>
      <c r="N334" s="119"/>
      <c r="O334" s="119"/>
      <c r="P334" s="94">
        <v>0</v>
      </c>
      <c r="Q334" s="38"/>
      <c r="R334" s="75"/>
      <c r="S334" s="51"/>
    </row>
    <row r="335" spans="1:20" ht="39" customHeight="1" x14ac:dyDescent="0.25">
      <c r="A335" s="18"/>
      <c r="B335" s="122"/>
      <c r="C335" s="132" t="s">
        <v>44</v>
      </c>
      <c r="D335" s="96" t="s">
        <v>24</v>
      </c>
      <c r="E335" s="89">
        <f>SUM(E333:E334)</f>
        <v>27339.379999999997</v>
      </c>
      <c r="F335" s="89"/>
      <c r="G335" s="87">
        <f t="shared" ref="G335:H335" si="96">SUM(G333:G334)</f>
        <v>86939.228400000007</v>
      </c>
      <c r="H335" s="87">
        <f t="shared" si="96"/>
        <v>333879.7</v>
      </c>
      <c r="I335" s="87"/>
      <c r="J335" s="87"/>
      <c r="K335" s="87"/>
      <c r="L335" s="122"/>
      <c r="M335" s="122"/>
      <c r="N335" s="122"/>
      <c r="O335" s="122"/>
      <c r="P335" s="87">
        <v>0</v>
      </c>
      <c r="Q335" s="76"/>
      <c r="R335" s="77"/>
      <c r="S335" s="50"/>
    </row>
    <row r="336" spans="1:20" ht="25.5" x14ac:dyDescent="0.25">
      <c r="A336" s="16"/>
      <c r="B336" s="119"/>
      <c r="C336" s="136" t="s">
        <v>44</v>
      </c>
      <c r="D336" s="120">
        <v>2015</v>
      </c>
      <c r="E336" s="161">
        <v>7192.78</v>
      </c>
      <c r="F336" s="141">
        <v>3.37</v>
      </c>
      <c r="G336" s="94">
        <f>E336*F336</f>
        <v>24239.668600000001</v>
      </c>
      <c r="H336" s="94">
        <v>201397.84</v>
      </c>
      <c r="I336" s="84"/>
      <c r="J336" s="84"/>
      <c r="K336" s="94"/>
      <c r="L336" s="119"/>
      <c r="M336" s="119"/>
      <c r="N336" s="119"/>
      <c r="O336" s="119"/>
      <c r="P336" s="94">
        <v>0</v>
      </c>
      <c r="Q336" s="38"/>
      <c r="R336" s="75"/>
      <c r="S336" s="51"/>
    </row>
    <row r="337" spans="1:19" ht="39" customHeight="1" x14ac:dyDescent="0.25">
      <c r="A337" s="18"/>
      <c r="B337" s="122"/>
      <c r="C337" s="132" t="s">
        <v>44</v>
      </c>
      <c r="D337" s="96" t="s">
        <v>26</v>
      </c>
      <c r="E337" s="89">
        <f>SUM(E335:E336)</f>
        <v>34532.159999999996</v>
      </c>
      <c r="F337" s="89"/>
      <c r="G337" s="87">
        <f t="shared" ref="G337:H337" si="97">SUM(G335:G336)</f>
        <v>111178.89700000001</v>
      </c>
      <c r="H337" s="87">
        <f t="shared" si="97"/>
        <v>535277.54</v>
      </c>
      <c r="I337" s="87"/>
      <c r="J337" s="87"/>
      <c r="K337" s="87"/>
      <c r="L337" s="122"/>
      <c r="M337" s="122"/>
      <c r="N337" s="122"/>
      <c r="O337" s="122"/>
      <c r="P337" s="87">
        <v>0</v>
      </c>
      <c r="Q337" s="76"/>
      <c r="R337" s="77"/>
      <c r="S337" s="50"/>
    </row>
    <row r="338" spans="1:19" ht="25.5" x14ac:dyDescent="0.25">
      <c r="A338" s="16"/>
      <c r="B338" s="119"/>
      <c r="C338" s="136" t="s">
        <v>44</v>
      </c>
      <c r="D338" s="99" t="s">
        <v>29</v>
      </c>
      <c r="E338" s="137">
        <v>1533.39</v>
      </c>
      <c r="F338" s="141">
        <v>3.37</v>
      </c>
      <c r="G338" s="94">
        <f>E338*F338</f>
        <v>5167.5243000000009</v>
      </c>
      <c r="H338" s="94">
        <v>55202.04</v>
      </c>
      <c r="I338" s="84"/>
      <c r="J338" s="84"/>
      <c r="K338" s="94"/>
      <c r="L338" s="119"/>
      <c r="M338" s="119"/>
      <c r="N338" s="119"/>
      <c r="O338" s="119"/>
      <c r="P338" s="94">
        <v>0</v>
      </c>
      <c r="Q338" s="38"/>
      <c r="R338" s="75"/>
      <c r="S338" s="51"/>
    </row>
    <row r="339" spans="1:19" ht="38.25" x14ac:dyDescent="0.25">
      <c r="A339" s="18"/>
      <c r="B339" s="122"/>
      <c r="C339" s="132" t="s">
        <v>44</v>
      </c>
      <c r="D339" s="100" t="s">
        <v>30</v>
      </c>
      <c r="E339" s="89">
        <f>SUM(E337:E338)</f>
        <v>36065.549999999996</v>
      </c>
      <c r="F339" s="89"/>
      <c r="G339" s="87">
        <f t="shared" ref="G339:H339" si="98">SUM(G337:G338)</f>
        <v>116346.42130000002</v>
      </c>
      <c r="H339" s="87">
        <f t="shared" si="98"/>
        <v>590479.58000000007</v>
      </c>
      <c r="I339" s="87"/>
      <c r="J339" s="87"/>
      <c r="K339" s="87"/>
      <c r="L339" s="122"/>
      <c r="M339" s="122"/>
      <c r="N339" s="122"/>
      <c r="O339" s="122"/>
      <c r="P339" s="87">
        <v>0</v>
      </c>
      <c r="Q339" s="76"/>
      <c r="R339" s="77"/>
      <c r="S339" s="50"/>
    </row>
    <row r="340" spans="1:19" ht="25.5" x14ac:dyDescent="0.25">
      <c r="A340" s="16"/>
      <c r="B340" s="119"/>
      <c r="C340" s="136" t="s">
        <v>44</v>
      </c>
      <c r="D340" s="99" t="s">
        <v>31</v>
      </c>
      <c r="E340" s="137">
        <v>1830.24</v>
      </c>
      <c r="F340" s="141">
        <v>3.37</v>
      </c>
      <c r="G340" s="94">
        <f>E340*F340</f>
        <v>6167.9088000000002</v>
      </c>
      <c r="H340" s="94">
        <v>65888.639999999999</v>
      </c>
      <c r="I340" s="84"/>
      <c r="J340" s="84"/>
      <c r="K340" s="94"/>
      <c r="L340" s="119"/>
      <c r="M340" s="119"/>
      <c r="N340" s="119"/>
      <c r="O340" s="119"/>
      <c r="P340" s="94">
        <v>0</v>
      </c>
      <c r="Q340" s="38"/>
      <c r="R340" s="75"/>
      <c r="S340" s="51"/>
    </row>
    <row r="341" spans="1:19" ht="38.25" x14ac:dyDescent="0.25">
      <c r="A341" s="16"/>
      <c r="B341" s="119"/>
      <c r="C341" s="101" t="s">
        <v>46</v>
      </c>
      <c r="D341" s="99"/>
      <c r="E341" s="137">
        <v>24.66</v>
      </c>
      <c r="F341" s="84">
        <v>0</v>
      </c>
      <c r="G341" s="94">
        <v>0</v>
      </c>
      <c r="H341" s="94">
        <v>0</v>
      </c>
      <c r="I341" s="84"/>
      <c r="J341" s="84"/>
      <c r="K341" s="84"/>
      <c r="L341" s="119"/>
      <c r="M341" s="119"/>
      <c r="N341" s="119"/>
      <c r="O341" s="119"/>
      <c r="P341" s="94"/>
      <c r="Q341" s="38"/>
      <c r="R341" s="75"/>
      <c r="S341" s="51"/>
    </row>
    <row r="342" spans="1:19" ht="39.75" customHeight="1" x14ac:dyDescent="0.25">
      <c r="A342" s="18"/>
      <c r="B342" s="122"/>
      <c r="C342" s="132" t="s">
        <v>44</v>
      </c>
      <c r="D342" s="100" t="s">
        <v>32</v>
      </c>
      <c r="E342" s="89">
        <f>SUM(E339:E341)</f>
        <v>37920.449999999997</v>
      </c>
      <c r="F342" s="89"/>
      <c r="G342" s="87">
        <f t="shared" ref="G342:H342" si="99">SUM(G339:G341)</f>
        <v>122514.33010000002</v>
      </c>
      <c r="H342" s="87">
        <f t="shared" si="99"/>
        <v>656368.22000000009</v>
      </c>
      <c r="I342" s="87"/>
      <c r="J342" s="87"/>
      <c r="K342" s="87"/>
      <c r="L342" s="122"/>
      <c r="M342" s="122"/>
      <c r="N342" s="122"/>
      <c r="O342" s="122"/>
      <c r="P342" s="87">
        <v>0</v>
      </c>
      <c r="Q342" s="76"/>
      <c r="R342" s="77"/>
      <c r="S342" s="50"/>
    </row>
    <row r="343" spans="1:19" ht="25.5" x14ac:dyDescent="0.25">
      <c r="A343" s="16"/>
      <c r="B343" s="119"/>
      <c r="C343" s="136" t="s">
        <v>44</v>
      </c>
      <c r="D343" s="99" t="s">
        <v>33</v>
      </c>
      <c r="E343" s="137">
        <v>1854.61</v>
      </c>
      <c r="F343" s="141">
        <v>3.37</v>
      </c>
      <c r="G343" s="94">
        <f>E343*F343</f>
        <v>6250.0356999999995</v>
      </c>
      <c r="H343" s="94">
        <v>66765.960000000006</v>
      </c>
      <c r="I343" s="84"/>
      <c r="J343" s="84"/>
      <c r="K343" s="94"/>
      <c r="L343" s="164"/>
      <c r="M343" s="119"/>
      <c r="N343" s="119"/>
      <c r="O343" s="119"/>
      <c r="P343" s="94">
        <v>0</v>
      </c>
      <c r="Q343" s="38"/>
      <c r="R343" s="75"/>
      <c r="S343" s="51"/>
    </row>
    <row r="344" spans="1:19" ht="38.25" x14ac:dyDescent="0.25">
      <c r="A344" s="18"/>
      <c r="B344" s="122"/>
      <c r="C344" s="132" t="s">
        <v>44</v>
      </c>
      <c r="D344" s="100" t="s">
        <v>35</v>
      </c>
      <c r="E344" s="89">
        <f>SUM(E342:E343)</f>
        <v>39775.06</v>
      </c>
      <c r="F344" s="89"/>
      <c r="G344" s="87">
        <f t="shared" ref="G344:H344" si="100">SUM(G342:G343)</f>
        <v>128764.36580000001</v>
      </c>
      <c r="H344" s="87">
        <f t="shared" si="100"/>
        <v>723134.18</v>
      </c>
      <c r="I344" s="87"/>
      <c r="J344" s="87"/>
      <c r="K344" s="87"/>
      <c r="L344" s="122"/>
      <c r="M344" s="122"/>
      <c r="N344" s="122"/>
      <c r="O344" s="122"/>
      <c r="P344" s="87">
        <v>0</v>
      </c>
      <c r="Q344" s="76"/>
      <c r="R344" s="77"/>
      <c r="S344" s="50"/>
    </row>
    <row r="345" spans="1:19" ht="25.5" x14ac:dyDescent="0.25">
      <c r="A345" s="16"/>
      <c r="B345" s="119"/>
      <c r="C345" s="136" t="s">
        <v>44</v>
      </c>
      <c r="D345" s="99" t="s">
        <v>34</v>
      </c>
      <c r="E345" s="137">
        <v>1647.596</v>
      </c>
      <c r="F345" s="141">
        <v>3.37</v>
      </c>
      <c r="G345" s="94">
        <f>E345*F345</f>
        <v>5552.3985199999997</v>
      </c>
      <c r="H345" s="94">
        <v>59313.455999999998</v>
      </c>
      <c r="I345" s="84"/>
      <c r="J345" s="84"/>
      <c r="K345" s="94"/>
      <c r="L345" s="119"/>
      <c r="M345" s="119"/>
      <c r="N345" s="119"/>
      <c r="O345" s="119"/>
      <c r="P345" s="94">
        <v>0</v>
      </c>
      <c r="Q345" s="38"/>
      <c r="R345" s="75"/>
      <c r="S345" s="51"/>
    </row>
    <row r="346" spans="1:19" ht="38.25" x14ac:dyDescent="0.25">
      <c r="A346" s="18"/>
      <c r="B346" s="122"/>
      <c r="C346" s="132" t="s">
        <v>44</v>
      </c>
      <c r="D346" s="100" t="s">
        <v>36</v>
      </c>
      <c r="E346" s="89">
        <f>SUM(E344:E345)</f>
        <v>41422.655999999995</v>
      </c>
      <c r="F346" s="89"/>
      <c r="G346" s="87">
        <f t="shared" ref="G346:H346" si="101">SUM(G344:G345)</f>
        <v>134316.76432000002</v>
      </c>
      <c r="H346" s="87">
        <f t="shared" si="101"/>
        <v>782447.63600000006</v>
      </c>
      <c r="I346" s="87"/>
      <c r="J346" s="87"/>
      <c r="K346" s="87"/>
      <c r="L346" s="122"/>
      <c r="M346" s="122"/>
      <c r="N346" s="122"/>
      <c r="O346" s="122"/>
      <c r="P346" s="87">
        <v>0</v>
      </c>
      <c r="Q346" s="76"/>
      <c r="R346" s="77"/>
      <c r="S346" s="50"/>
    </row>
    <row r="347" spans="1:19" s="2" customFormat="1" ht="25.5" x14ac:dyDescent="0.25">
      <c r="A347" s="20"/>
      <c r="B347" s="129"/>
      <c r="C347" s="131" t="s">
        <v>44</v>
      </c>
      <c r="D347" s="99" t="s">
        <v>57</v>
      </c>
      <c r="E347" s="93">
        <v>1405.7</v>
      </c>
      <c r="F347" s="94">
        <v>3.37</v>
      </c>
      <c r="G347" s="94">
        <f>E347*F347</f>
        <v>4737.2090000000007</v>
      </c>
      <c r="H347" s="94">
        <v>56228</v>
      </c>
      <c r="I347" s="94"/>
      <c r="J347" s="94"/>
      <c r="K347" s="94"/>
      <c r="L347" s="129"/>
      <c r="M347" s="129"/>
      <c r="N347" s="129"/>
      <c r="O347" s="129"/>
      <c r="P347" s="94">
        <v>0</v>
      </c>
      <c r="Q347" s="73"/>
      <c r="R347" s="74"/>
      <c r="S347" s="47"/>
    </row>
    <row r="348" spans="1:19" s="2" customFormat="1" ht="38.25" x14ac:dyDescent="0.25">
      <c r="A348" s="18"/>
      <c r="B348" s="122"/>
      <c r="C348" s="132" t="s">
        <v>44</v>
      </c>
      <c r="D348" s="100" t="s">
        <v>58</v>
      </c>
      <c r="E348" s="89">
        <f>SUM(E346:E347)</f>
        <v>42828.355999999992</v>
      </c>
      <c r="F348" s="89"/>
      <c r="G348" s="87">
        <f t="shared" ref="G348:H348" si="102">SUM(G346:G347)</f>
        <v>139053.97332000002</v>
      </c>
      <c r="H348" s="87">
        <f t="shared" si="102"/>
        <v>838675.63600000006</v>
      </c>
      <c r="I348" s="87"/>
      <c r="J348" s="87"/>
      <c r="K348" s="87"/>
      <c r="L348" s="122"/>
      <c r="M348" s="122"/>
      <c r="N348" s="122"/>
      <c r="O348" s="122"/>
      <c r="P348" s="87">
        <v>0</v>
      </c>
      <c r="Q348" s="76"/>
      <c r="R348" s="77"/>
      <c r="S348" s="50"/>
    </row>
    <row r="349" spans="1:19" s="2" customFormat="1" ht="25.5" x14ac:dyDescent="0.25">
      <c r="A349" s="20"/>
      <c r="B349" s="129"/>
      <c r="C349" s="131" t="s">
        <v>44</v>
      </c>
      <c r="D349" s="99" t="s">
        <v>61</v>
      </c>
      <c r="E349" s="93">
        <v>1746.58</v>
      </c>
      <c r="F349" s="94">
        <v>3.37</v>
      </c>
      <c r="G349" s="94">
        <f>E349*F349</f>
        <v>5885.9745999999996</v>
      </c>
      <c r="H349" s="94">
        <v>69863.199999999997</v>
      </c>
      <c r="I349" s="94"/>
      <c r="J349" s="94"/>
      <c r="K349" s="94"/>
      <c r="L349" s="129"/>
      <c r="M349" s="129"/>
      <c r="N349" s="129"/>
      <c r="O349" s="129"/>
      <c r="P349" s="106">
        <v>151121.09</v>
      </c>
      <c r="Q349" s="73"/>
      <c r="R349" s="74"/>
      <c r="S349" s="47"/>
    </row>
    <row r="350" spans="1:19" s="2" customFormat="1" ht="42.75" customHeight="1" x14ac:dyDescent="0.25">
      <c r="A350" s="18"/>
      <c r="B350" s="122"/>
      <c r="C350" s="132" t="s">
        <v>44</v>
      </c>
      <c r="D350" s="100" t="s">
        <v>63</v>
      </c>
      <c r="E350" s="89">
        <f>SUM(E348:E349)</f>
        <v>44574.935999999994</v>
      </c>
      <c r="F350" s="89"/>
      <c r="G350" s="87">
        <f t="shared" ref="G350:H350" si="103">SUM(G348:G349)</f>
        <v>144939.94792000001</v>
      </c>
      <c r="H350" s="87">
        <f t="shared" si="103"/>
        <v>908538.83600000001</v>
      </c>
      <c r="I350" s="87"/>
      <c r="J350" s="87"/>
      <c r="K350" s="87"/>
      <c r="L350" s="122"/>
      <c r="M350" s="122"/>
      <c r="N350" s="122"/>
      <c r="O350" s="122"/>
      <c r="P350" s="105">
        <v>151121.09</v>
      </c>
      <c r="Q350" s="76"/>
      <c r="R350" s="77"/>
      <c r="S350" s="50"/>
    </row>
    <row r="351" spans="1:19" s="2" customFormat="1" ht="75" customHeight="1" x14ac:dyDescent="0.25">
      <c r="A351" s="20"/>
      <c r="B351" s="129"/>
      <c r="C351" s="131" t="s">
        <v>44</v>
      </c>
      <c r="D351" s="99" t="s">
        <v>64</v>
      </c>
      <c r="E351" s="93">
        <v>1916.34</v>
      </c>
      <c r="F351" s="94">
        <v>3.37</v>
      </c>
      <c r="G351" s="94">
        <f>E351*F351</f>
        <v>6458.0658000000003</v>
      </c>
      <c r="H351" s="94">
        <v>76653.600000000006</v>
      </c>
      <c r="I351" s="94"/>
      <c r="J351" s="94"/>
      <c r="K351" s="94"/>
      <c r="L351" s="129"/>
      <c r="M351" s="129"/>
      <c r="N351" s="129"/>
      <c r="O351" s="129"/>
      <c r="P351" s="187" t="s">
        <v>75</v>
      </c>
      <c r="Q351" s="73"/>
      <c r="R351" s="73"/>
      <c r="S351" s="180"/>
    </row>
    <row r="352" spans="1:19" s="2" customFormat="1" ht="39" customHeight="1" x14ac:dyDescent="0.25">
      <c r="A352" s="20"/>
      <c r="B352" s="129"/>
      <c r="C352" s="131" t="s">
        <v>46</v>
      </c>
      <c r="D352" s="104"/>
      <c r="E352" s="93">
        <v>28</v>
      </c>
      <c r="F352" s="94">
        <v>0</v>
      </c>
      <c r="G352" s="94">
        <v>0</v>
      </c>
      <c r="H352" s="94">
        <v>0</v>
      </c>
      <c r="I352" s="94"/>
      <c r="J352" s="94"/>
      <c r="K352" s="94"/>
      <c r="L352" s="129"/>
      <c r="M352" s="129"/>
      <c r="N352" s="129"/>
      <c r="O352" s="129"/>
      <c r="P352" s="106"/>
      <c r="Q352" s="73"/>
      <c r="R352" s="74"/>
      <c r="S352" s="47"/>
    </row>
    <row r="353" spans="1:19" s="2" customFormat="1" ht="39.75" customHeight="1" x14ac:dyDescent="0.25">
      <c r="A353" s="18"/>
      <c r="B353" s="122"/>
      <c r="C353" s="132" t="s">
        <v>44</v>
      </c>
      <c r="D353" s="100" t="s">
        <v>65</v>
      </c>
      <c r="E353" s="89">
        <f>SUM(E350:E352)</f>
        <v>46519.275999999991</v>
      </c>
      <c r="F353" s="89"/>
      <c r="G353" s="87">
        <f>SUM(G350:G352)</f>
        <v>151398.01372000002</v>
      </c>
      <c r="H353" s="87">
        <f>SUM(H350:H352)</f>
        <v>985192.43599999999</v>
      </c>
      <c r="I353" s="87"/>
      <c r="J353" s="87"/>
      <c r="K353" s="87"/>
      <c r="L353" s="122"/>
      <c r="M353" s="122"/>
      <c r="N353" s="122"/>
      <c r="O353" s="122"/>
      <c r="P353" s="105">
        <v>53321.09</v>
      </c>
      <c r="Q353" s="76"/>
      <c r="R353" s="77"/>
      <c r="S353" s="50"/>
    </row>
    <row r="354" spans="1:19" s="2" customFormat="1" ht="27" customHeight="1" x14ac:dyDescent="0.25">
      <c r="A354" s="20"/>
      <c r="B354" s="129"/>
      <c r="C354" s="131" t="s">
        <v>44</v>
      </c>
      <c r="D354" s="99" t="s">
        <v>70</v>
      </c>
      <c r="E354" s="93">
        <v>1541.72</v>
      </c>
      <c r="F354" s="94">
        <v>3.37</v>
      </c>
      <c r="G354" s="94">
        <v>5195.5964000000004</v>
      </c>
      <c r="H354" s="94">
        <v>61668.800000000003</v>
      </c>
      <c r="I354" s="94"/>
      <c r="J354" s="94"/>
      <c r="K354" s="94"/>
      <c r="L354" s="129"/>
      <c r="M354" s="129"/>
      <c r="N354" s="129"/>
      <c r="O354" s="129"/>
      <c r="P354" s="106">
        <v>0</v>
      </c>
      <c r="Q354" s="73"/>
      <c r="R354" s="74"/>
      <c r="S354" s="47"/>
    </row>
    <row r="355" spans="1:19" s="2" customFormat="1" ht="42" customHeight="1" x14ac:dyDescent="0.25">
      <c r="A355" s="18"/>
      <c r="B355" s="122"/>
      <c r="C355" s="132" t="s">
        <v>44</v>
      </c>
      <c r="D355" s="100" t="s">
        <v>69</v>
      </c>
      <c r="E355" s="89">
        <f>SUM(E353:E354)</f>
        <v>48060.995999999992</v>
      </c>
      <c r="F355" s="89"/>
      <c r="G355" s="87">
        <f t="shared" ref="G355:H355" si="104">SUM(G353:G354)</f>
        <v>156593.61012000003</v>
      </c>
      <c r="H355" s="87">
        <f t="shared" si="104"/>
        <v>1046861.236</v>
      </c>
      <c r="I355" s="87"/>
      <c r="J355" s="87"/>
      <c r="K355" s="87"/>
      <c r="L355" s="122"/>
      <c r="M355" s="122"/>
      <c r="N355" s="122"/>
      <c r="O355" s="122"/>
      <c r="P355" s="105">
        <v>53321.09</v>
      </c>
      <c r="Q355" s="76"/>
      <c r="R355" s="77"/>
      <c r="S355" s="50"/>
    </row>
    <row r="356" spans="1:19" s="2" customFormat="1" ht="28.5" customHeight="1" x14ac:dyDescent="0.25">
      <c r="A356" s="20"/>
      <c r="B356" s="129"/>
      <c r="C356" s="131" t="s">
        <v>44</v>
      </c>
      <c r="D356" s="99" t="s">
        <v>71</v>
      </c>
      <c r="E356" s="93">
        <v>1420.84</v>
      </c>
      <c r="F356" s="94">
        <v>3.45</v>
      </c>
      <c r="G356" s="94">
        <f>E356*F356</f>
        <v>4901.8980000000001</v>
      </c>
      <c r="H356" s="94">
        <f>E356*45</f>
        <v>63937.799999999996</v>
      </c>
      <c r="I356" s="94"/>
      <c r="J356" s="94"/>
      <c r="K356" s="94"/>
      <c r="L356" s="129"/>
      <c r="M356" s="129"/>
      <c r="N356" s="129"/>
      <c r="O356" s="129"/>
      <c r="P356" s="106">
        <v>0</v>
      </c>
      <c r="Q356" s="73"/>
      <c r="R356" s="74"/>
      <c r="S356" s="47"/>
    </row>
    <row r="357" spans="1:19" s="2" customFormat="1" ht="39.75" customHeight="1" x14ac:dyDescent="0.25">
      <c r="A357" s="18"/>
      <c r="B357" s="122"/>
      <c r="C357" s="132" t="s">
        <v>44</v>
      </c>
      <c r="D357" s="100" t="s">
        <v>72</v>
      </c>
      <c r="E357" s="89">
        <f>SUM(E355:E356)</f>
        <v>49481.835999999988</v>
      </c>
      <c r="F357" s="89"/>
      <c r="G357" s="87">
        <f t="shared" ref="G357:H357" si="105">SUM(G355:G356)</f>
        <v>161495.50812000001</v>
      </c>
      <c r="H357" s="87">
        <f t="shared" si="105"/>
        <v>1110799.0360000001</v>
      </c>
      <c r="I357" s="87"/>
      <c r="J357" s="87"/>
      <c r="K357" s="87"/>
      <c r="L357" s="122"/>
      <c r="M357" s="122"/>
      <c r="N357" s="122"/>
      <c r="O357" s="122"/>
      <c r="P357" s="105">
        <v>53321.09</v>
      </c>
      <c r="Q357" s="76"/>
      <c r="R357" s="77"/>
      <c r="S357" s="50"/>
    </row>
    <row r="358" spans="1:19" s="2" customFormat="1" ht="28.5" customHeight="1" x14ac:dyDescent="0.25">
      <c r="A358" s="20"/>
      <c r="B358" s="129"/>
      <c r="C358" s="131" t="s">
        <v>44</v>
      </c>
      <c r="D358" s="99" t="s">
        <v>73</v>
      </c>
      <c r="E358" s="93">
        <v>1970.8</v>
      </c>
      <c r="F358" s="94">
        <v>3.45</v>
      </c>
      <c r="G358" s="94">
        <f>E358*F358</f>
        <v>6799.26</v>
      </c>
      <c r="H358" s="94">
        <f>E358*45</f>
        <v>88686</v>
      </c>
      <c r="I358" s="94"/>
      <c r="J358" s="94"/>
      <c r="K358" s="94"/>
      <c r="L358" s="129"/>
      <c r="M358" s="129"/>
      <c r="N358" s="129"/>
      <c r="O358" s="129"/>
      <c r="P358" s="106">
        <v>0</v>
      </c>
      <c r="Q358" s="73"/>
      <c r="R358" s="74"/>
      <c r="S358" s="47"/>
    </row>
    <row r="359" spans="1:19" s="2" customFormat="1" ht="39.75" customHeight="1" x14ac:dyDescent="0.25">
      <c r="A359" s="18"/>
      <c r="B359" s="122"/>
      <c r="C359" s="132" t="s">
        <v>44</v>
      </c>
      <c r="D359" s="100" t="s">
        <v>74</v>
      </c>
      <c r="E359" s="89">
        <f>SUM(E357:E358)</f>
        <v>51452.635999999991</v>
      </c>
      <c r="F359" s="89"/>
      <c r="G359" s="87">
        <f t="shared" ref="G359:H359" si="106">SUM(G357:G358)</f>
        <v>168294.76812000002</v>
      </c>
      <c r="H359" s="87">
        <f t="shared" si="106"/>
        <v>1199485.0360000001</v>
      </c>
      <c r="I359" s="87"/>
      <c r="J359" s="87"/>
      <c r="K359" s="87"/>
      <c r="L359" s="122"/>
      <c r="M359" s="122"/>
      <c r="N359" s="122"/>
      <c r="O359" s="122"/>
      <c r="P359" s="105">
        <v>53321.09</v>
      </c>
      <c r="Q359" s="76"/>
      <c r="R359" s="77"/>
      <c r="S359" s="50"/>
    </row>
    <row r="360" spans="1:19" s="2" customFormat="1" ht="30.75" customHeight="1" x14ac:dyDescent="0.25">
      <c r="A360" s="20"/>
      <c r="B360" s="129"/>
      <c r="C360" s="131" t="s">
        <v>44</v>
      </c>
      <c r="D360" s="99" t="s">
        <v>76</v>
      </c>
      <c r="E360" s="93">
        <v>1738.65</v>
      </c>
      <c r="F360" s="94">
        <v>3.45</v>
      </c>
      <c r="G360" s="94">
        <f>E360*F360</f>
        <v>5998.3425000000007</v>
      </c>
      <c r="H360" s="94">
        <f>E360*45</f>
        <v>78239.25</v>
      </c>
      <c r="I360" s="94"/>
      <c r="J360" s="94"/>
      <c r="K360" s="94"/>
      <c r="L360" s="129"/>
      <c r="M360" s="129"/>
      <c r="N360" s="129"/>
      <c r="O360" s="129"/>
      <c r="P360" s="106">
        <v>0</v>
      </c>
      <c r="Q360" s="73"/>
      <c r="R360" s="74"/>
      <c r="S360" s="47"/>
    </row>
    <row r="361" spans="1:19" s="2" customFormat="1" ht="39.75" customHeight="1" x14ac:dyDescent="0.25">
      <c r="A361" s="20"/>
      <c r="B361" s="129"/>
      <c r="C361" s="131" t="s">
        <v>46</v>
      </c>
      <c r="D361" s="104"/>
      <c r="E361" s="93">
        <v>47.3</v>
      </c>
      <c r="F361" s="94">
        <v>0</v>
      </c>
      <c r="G361" s="94">
        <v>0</v>
      </c>
      <c r="H361" s="94">
        <v>0</v>
      </c>
      <c r="I361" s="94"/>
      <c r="J361" s="94"/>
      <c r="K361" s="94"/>
      <c r="L361" s="129"/>
      <c r="M361" s="129"/>
      <c r="N361" s="129"/>
      <c r="O361" s="129"/>
      <c r="P361" s="106"/>
      <c r="Q361" s="73"/>
      <c r="R361" s="74"/>
      <c r="S361" s="47"/>
    </row>
    <row r="362" spans="1:19" s="2" customFormat="1" ht="40.5" customHeight="1" x14ac:dyDescent="0.25">
      <c r="A362" s="18"/>
      <c r="B362" s="122"/>
      <c r="C362" s="132" t="s">
        <v>44</v>
      </c>
      <c r="D362" s="100" t="s">
        <v>77</v>
      </c>
      <c r="E362" s="89">
        <f>SUM(E359:E361)</f>
        <v>53238.585999999996</v>
      </c>
      <c r="F362" s="89"/>
      <c r="G362" s="87">
        <f t="shared" ref="G362:H362" si="107">SUM(G359:G361)</f>
        <v>174293.11062000002</v>
      </c>
      <c r="H362" s="87">
        <f t="shared" si="107"/>
        <v>1277724.2860000001</v>
      </c>
      <c r="I362" s="87"/>
      <c r="J362" s="87"/>
      <c r="K362" s="87"/>
      <c r="L362" s="122"/>
      <c r="M362" s="122"/>
      <c r="N362" s="122"/>
      <c r="O362" s="122"/>
      <c r="P362" s="105">
        <v>53321.09</v>
      </c>
      <c r="Q362" s="76"/>
      <c r="R362" s="77"/>
      <c r="S362" s="50"/>
    </row>
    <row r="363" spans="1:19" s="2" customFormat="1" ht="30.75" customHeight="1" x14ac:dyDescent="0.25">
      <c r="A363" s="20"/>
      <c r="B363" s="129"/>
      <c r="C363" s="131" t="s">
        <v>44</v>
      </c>
      <c r="D363" s="99" t="s">
        <v>80</v>
      </c>
      <c r="E363" s="93">
        <v>545.15</v>
      </c>
      <c r="F363" s="94">
        <v>3.45</v>
      </c>
      <c r="G363" s="94">
        <f>E363*F363</f>
        <v>1880.7674999999999</v>
      </c>
      <c r="H363" s="94">
        <f>E363*45</f>
        <v>24531.75</v>
      </c>
      <c r="I363" s="94"/>
      <c r="J363" s="94"/>
      <c r="K363" s="94"/>
      <c r="L363" s="129"/>
      <c r="M363" s="129"/>
      <c r="N363" s="129"/>
      <c r="O363" s="129"/>
      <c r="P363" s="106">
        <v>206149.14</v>
      </c>
      <c r="Q363" s="73"/>
      <c r="R363" s="74"/>
      <c r="S363" s="47"/>
    </row>
    <row r="364" spans="1:19" s="2" customFormat="1" ht="40.5" customHeight="1" x14ac:dyDescent="0.25">
      <c r="A364" s="18"/>
      <c r="B364" s="122"/>
      <c r="C364" s="132" t="s">
        <v>44</v>
      </c>
      <c r="D364" s="100" t="s">
        <v>79</v>
      </c>
      <c r="E364" s="89">
        <f>SUM(E362:E363)</f>
        <v>53783.735999999997</v>
      </c>
      <c r="F364" s="89"/>
      <c r="G364" s="87">
        <f t="shared" ref="G364:H364" si="108">SUM(G362:G363)</f>
        <v>176173.87812000001</v>
      </c>
      <c r="H364" s="87">
        <f t="shared" si="108"/>
        <v>1302256.0360000001</v>
      </c>
      <c r="I364" s="87"/>
      <c r="J364" s="87"/>
      <c r="K364" s="87"/>
      <c r="L364" s="122"/>
      <c r="M364" s="122"/>
      <c r="N364" s="122"/>
      <c r="O364" s="122"/>
      <c r="P364" s="105">
        <f>P362+P363</f>
        <v>259470.23</v>
      </c>
      <c r="Q364" s="76"/>
      <c r="R364" s="77"/>
      <c r="S364" s="50"/>
    </row>
    <row r="365" spans="1:19" s="2" customFormat="1" ht="33.75" customHeight="1" x14ac:dyDescent="0.25">
      <c r="A365" s="20"/>
      <c r="B365" s="129"/>
      <c r="C365" s="131" t="s">
        <v>44</v>
      </c>
      <c r="D365" s="99" t="s">
        <v>83</v>
      </c>
      <c r="E365" s="93">
        <v>362.56</v>
      </c>
      <c r="F365" s="94">
        <v>3.45</v>
      </c>
      <c r="G365" s="94">
        <f>E365*F365</f>
        <v>1250.8320000000001</v>
      </c>
      <c r="H365" s="94">
        <f>E365*57</f>
        <v>20665.920000000002</v>
      </c>
      <c r="I365" s="94"/>
      <c r="J365" s="94"/>
      <c r="K365" s="94"/>
      <c r="L365" s="129"/>
      <c r="M365" s="129"/>
      <c r="N365" s="129"/>
      <c r="O365" s="129"/>
      <c r="P365" s="106">
        <v>373753.59999999998</v>
      </c>
      <c r="Q365" s="73"/>
      <c r="R365" s="74"/>
      <c r="S365" s="47"/>
    </row>
    <row r="366" spans="1:19" s="2" customFormat="1" ht="39.75" customHeight="1" x14ac:dyDescent="0.25">
      <c r="A366" s="18"/>
      <c r="B366" s="122"/>
      <c r="C366" s="132" t="s">
        <v>44</v>
      </c>
      <c r="D366" s="100" t="s">
        <v>81</v>
      </c>
      <c r="E366" s="89">
        <f>SUM(E364:E365)</f>
        <v>54146.295999999995</v>
      </c>
      <c r="F366" s="89"/>
      <c r="G366" s="87">
        <f t="shared" ref="G366:P366" si="109">SUM(G364:G365)</f>
        <v>177424.71012</v>
      </c>
      <c r="H366" s="87">
        <f t="shared" si="109"/>
        <v>1322921.956</v>
      </c>
      <c r="I366" s="87"/>
      <c r="J366" s="87"/>
      <c r="K366" s="87"/>
      <c r="L366" s="87"/>
      <c r="M366" s="87"/>
      <c r="N366" s="87"/>
      <c r="O366" s="87"/>
      <c r="P366" s="87">
        <f t="shared" si="109"/>
        <v>633223.82999999996</v>
      </c>
      <c r="Q366" s="76"/>
      <c r="R366" s="77"/>
      <c r="S366" s="50"/>
    </row>
    <row r="367" spans="1:19" s="2" customFormat="1" ht="28.5" customHeight="1" x14ac:dyDescent="0.25">
      <c r="A367" s="20"/>
      <c r="B367" s="129"/>
      <c r="C367" s="131" t="s">
        <v>44</v>
      </c>
      <c r="D367" s="99" t="s">
        <v>84</v>
      </c>
      <c r="E367" s="93">
        <v>1197.8800000000001</v>
      </c>
      <c r="F367" s="94">
        <v>3.45</v>
      </c>
      <c r="G367" s="94">
        <f>E367*F367</f>
        <v>4132.6860000000006</v>
      </c>
      <c r="H367" s="94">
        <f>E367*57</f>
        <v>68279.16</v>
      </c>
      <c r="I367" s="94"/>
      <c r="J367" s="94"/>
      <c r="K367" s="94"/>
      <c r="L367" s="94"/>
      <c r="M367" s="94"/>
      <c r="N367" s="94"/>
      <c r="O367" s="94"/>
      <c r="P367" s="94">
        <v>0</v>
      </c>
      <c r="Q367" s="73"/>
      <c r="R367" s="74"/>
      <c r="S367" s="47"/>
    </row>
    <row r="368" spans="1:19" s="2" customFormat="1" ht="39.75" customHeight="1" x14ac:dyDescent="0.25">
      <c r="A368" s="18"/>
      <c r="B368" s="122"/>
      <c r="C368" s="132" t="s">
        <v>44</v>
      </c>
      <c r="D368" s="100" t="s">
        <v>86</v>
      </c>
      <c r="E368" s="89">
        <f>SUM(E366:E367)</f>
        <v>55344.175999999992</v>
      </c>
      <c r="F368" s="89"/>
      <c r="G368" s="87">
        <f t="shared" ref="G368:P368" si="110">SUM(G366:G367)</f>
        <v>181557.39611999999</v>
      </c>
      <c r="H368" s="87">
        <f t="shared" si="110"/>
        <v>1391201.1159999999</v>
      </c>
      <c r="I368" s="87"/>
      <c r="J368" s="87"/>
      <c r="K368" s="87"/>
      <c r="L368" s="87"/>
      <c r="M368" s="87"/>
      <c r="N368" s="87"/>
      <c r="O368" s="87"/>
      <c r="P368" s="87">
        <f t="shared" si="110"/>
        <v>633223.82999999996</v>
      </c>
      <c r="Q368" s="76"/>
      <c r="R368" s="77"/>
      <c r="S368" s="50"/>
    </row>
    <row r="369" spans="1:19" s="2" customFormat="1" ht="39.75" customHeight="1" x14ac:dyDescent="0.25">
      <c r="A369" s="20"/>
      <c r="B369" s="129"/>
      <c r="C369" s="131" t="s">
        <v>44</v>
      </c>
      <c r="D369" s="99" t="s">
        <v>89</v>
      </c>
      <c r="E369" s="93">
        <v>1922.82</v>
      </c>
      <c r="F369" s="94">
        <v>3.45</v>
      </c>
      <c r="G369" s="94">
        <f>E369*F369</f>
        <v>6633.7290000000003</v>
      </c>
      <c r="H369" s="94">
        <f>E369*57</f>
        <v>109600.73999999999</v>
      </c>
      <c r="I369" s="94"/>
      <c r="J369" s="94"/>
      <c r="K369" s="94"/>
      <c r="L369" s="94"/>
      <c r="M369" s="94"/>
      <c r="N369" s="94"/>
      <c r="O369" s="94"/>
      <c r="P369" s="94">
        <v>120528</v>
      </c>
      <c r="Q369" s="73"/>
      <c r="R369" s="74"/>
      <c r="S369" s="47"/>
    </row>
    <row r="370" spans="1:19" s="2" customFormat="1" ht="39.75" customHeight="1" x14ac:dyDescent="0.25">
      <c r="A370" s="20"/>
      <c r="B370" s="129"/>
      <c r="C370" s="131" t="s">
        <v>46</v>
      </c>
      <c r="D370" s="99"/>
      <c r="E370" s="93" t="s">
        <v>92</v>
      </c>
      <c r="F370" s="93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73"/>
      <c r="R370" s="74"/>
      <c r="S370" s="47"/>
    </row>
    <row r="371" spans="1:19" s="2" customFormat="1" ht="39.75" customHeight="1" x14ac:dyDescent="0.25">
      <c r="A371" s="18"/>
      <c r="B371" s="122"/>
      <c r="C371" s="132" t="s">
        <v>44</v>
      </c>
      <c r="D371" s="100" t="s">
        <v>90</v>
      </c>
      <c r="E371" s="89">
        <v>57270.565999999999</v>
      </c>
      <c r="F371" s="89"/>
      <c r="G371" s="87">
        <f t="shared" ref="G371:P371" si="111">SUM(G368:G370)</f>
        <v>188191.12511999998</v>
      </c>
      <c r="H371" s="87">
        <f t="shared" si="111"/>
        <v>1500801.8559999999</v>
      </c>
      <c r="I371" s="87"/>
      <c r="J371" s="87"/>
      <c r="K371" s="87"/>
      <c r="L371" s="87"/>
      <c r="M371" s="87"/>
      <c r="N371" s="87"/>
      <c r="O371" s="87"/>
      <c r="P371" s="87">
        <f t="shared" si="111"/>
        <v>753751.83</v>
      </c>
      <c r="Q371" s="76"/>
      <c r="R371" s="77"/>
      <c r="S371" s="50"/>
    </row>
    <row r="372" spans="1:19" s="2" customFormat="1" ht="31.5" customHeight="1" x14ac:dyDescent="0.25">
      <c r="A372" s="20"/>
      <c r="B372" s="129"/>
      <c r="C372" s="131" t="s">
        <v>44</v>
      </c>
      <c r="D372" s="99" t="s">
        <v>95</v>
      </c>
      <c r="E372" s="93">
        <v>1700.82</v>
      </c>
      <c r="F372" s="94">
        <v>3.45</v>
      </c>
      <c r="G372" s="94">
        <f>E372*F372</f>
        <v>5867.8289999999997</v>
      </c>
      <c r="H372" s="94">
        <f>E372*57</f>
        <v>96946.739999999991</v>
      </c>
      <c r="I372" s="94"/>
      <c r="J372" s="94"/>
      <c r="K372" s="94"/>
      <c r="L372" s="94"/>
      <c r="M372" s="94"/>
      <c r="N372" s="94"/>
      <c r="O372" s="94"/>
      <c r="P372" s="94">
        <v>0</v>
      </c>
      <c r="Q372" s="73"/>
      <c r="R372" s="74"/>
      <c r="S372" s="47"/>
    </row>
    <row r="373" spans="1:19" s="2" customFormat="1" ht="39.75" customHeight="1" x14ac:dyDescent="0.25">
      <c r="A373" s="18"/>
      <c r="B373" s="122"/>
      <c r="C373" s="132" t="s">
        <v>44</v>
      </c>
      <c r="D373" s="100" t="s">
        <v>94</v>
      </c>
      <c r="E373" s="89">
        <f>SUM(E371:E372)</f>
        <v>58971.385999999999</v>
      </c>
      <c r="F373" s="89"/>
      <c r="G373" s="87">
        <f t="shared" ref="G373:H373" si="112">SUM(G371:G372)</f>
        <v>194058.95411999998</v>
      </c>
      <c r="H373" s="87">
        <f t="shared" si="112"/>
        <v>1597748.5959999999</v>
      </c>
      <c r="I373" s="87"/>
      <c r="J373" s="87"/>
      <c r="K373" s="87"/>
      <c r="L373" s="87"/>
      <c r="M373" s="87"/>
      <c r="N373" s="87"/>
      <c r="O373" s="87"/>
      <c r="P373" s="87">
        <v>753751.83</v>
      </c>
      <c r="Q373" s="76"/>
      <c r="R373" s="77"/>
      <c r="S373" s="50"/>
    </row>
    <row r="374" spans="1:19" s="2" customFormat="1" ht="89.25" customHeight="1" x14ac:dyDescent="0.25">
      <c r="A374" s="20"/>
      <c r="B374" s="129"/>
      <c r="C374" s="131" t="s">
        <v>44</v>
      </c>
      <c r="D374" s="99" t="s">
        <v>98</v>
      </c>
      <c r="E374" s="93">
        <v>1589.32</v>
      </c>
      <c r="F374" s="94">
        <v>5.6</v>
      </c>
      <c r="G374" s="94">
        <f>E374*F374</f>
        <v>8900.1919999999991</v>
      </c>
      <c r="H374" s="94">
        <v>145570.64000000001</v>
      </c>
      <c r="I374" s="94"/>
      <c r="J374" s="94"/>
      <c r="K374" s="94"/>
      <c r="L374" s="94"/>
      <c r="M374" s="94"/>
      <c r="N374" s="94"/>
      <c r="O374" s="94"/>
      <c r="P374" s="220" t="s">
        <v>113</v>
      </c>
      <c r="Q374" s="73"/>
      <c r="R374" s="74"/>
      <c r="S374" s="217" t="s">
        <v>103</v>
      </c>
    </row>
    <row r="375" spans="1:19" s="2" customFormat="1" ht="39.75" customHeight="1" x14ac:dyDescent="0.25">
      <c r="A375" s="18"/>
      <c r="B375" s="122"/>
      <c r="C375" s="132" t="s">
        <v>44</v>
      </c>
      <c r="D375" s="100" t="s">
        <v>97</v>
      </c>
      <c r="E375" s="89">
        <f>SUM(E373:E374)</f>
        <v>60560.705999999998</v>
      </c>
      <c r="F375" s="89"/>
      <c r="G375" s="87">
        <f t="shared" ref="G375:H375" si="113">SUM(G373:G374)</f>
        <v>202959.14611999999</v>
      </c>
      <c r="H375" s="87">
        <f t="shared" si="113"/>
        <v>1743319.236</v>
      </c>
      <c r="I375" s="87"/>
      <c r="J375" s="87"/>
      <c r="K375" s="87"/>
      <c r="L375" s="87"/>
      <c r="M375" s="87"/>
      <c r="N375" s="87"/>
      <c r="O375" s="87"/>
      <c r="P375" s="221" t="s">
        <v>112</v>
      </c>
      <c r="Q375" s="76"/>
      <c r="R375" s="77"/>
      <c r="S375" s="50"/>
    </row>
    <row r="376" spans="1:19" s="2" customFormat="1" ht="39.75" customHeight="1" x14ac:dyDescent="0.25">
      <c r="A376" s="20"/>
      <c r="B376" s="129"/>
      <c r="C376" s="131" t="s">
        <v>44</v>
      </c>
      <c r="D376" s="99" t="s">
        <v>119</v>
      </c>
      <c r="E376" s="93">
        <v>1778.61</v>
      </c>
      <c r="F376" s="94">
        <v>5.6</v>
      </c>
      <c r="G376" s="94">
        <f>E376*F376</f>
        <v>9960.2159999999985</v>
      </c>
      <c r="H376" s="94">
        <f>E376*69</f>
        <v>122724.09</v>
      </c>
      <c r="I376" s="94"/>
      <c r="J376" s="94"/>
      <c r="K376" s="94"/>
      <c r="L376" s="94"/>
      <c r="M376" s="94"/>
      <c r="N376" s="94"/>
      <c r="O376" s="94"/>
      <c r="P376" s="220" t="s">
        <v>123</v>
      </c>
      <c r="Q376" s="73"/>
      <c r="R376" s="74"/>
      <c r="S376" s="47"/>
    </row>
    <row r="377" spans="1:19" s="2" customFormat="1" ht="39.75" customHeight="1" x14ac:dyDescent="0.25">
      <c r="A377" s="18"/>
      <c r="B377" s="122"/>
      <c r="C377" s="132" t="s">
        <v>44</v>
      </c>
      <c r="D377" s="100" t="s">
        <v>120</v>
      </c>
      <c r="E377" s="89">
        <f>SUM(E375:E376)</f>
        <v>62339.315999999999</v>
      </c>
      <c r="F377" s="89"/>
      <c r="G377" s="87">
        <f t="shared" ref="G377:H377" si="114">SUM(G375:G376)</f>
        <v>212919.36211999998</v>
      </c>
      <c r="H377" s="87">
        <f t="shared" si="114"/>
        <v>1866043.3260000001</v>
      </c>
      <c r="I377" s="87"/>
      <c r="J377" s="87"/>
      <c r="K377" s="87"/>
      <c r="L377" s="87"/>
      <c r="M377" s="87"/>
      <c r="N377" s="87"/>
      <c r="O377" s="87"/>
      <c r="P377" s="221" t="s">
        <v>141</v>
      </c>
      <c r="Q377" s="76"/>
      <c r="R377" s="77"/>
      <c r="S377" s="50"/>
    </row>
    <row r="378" spans="1:19" s="2" customFormat="1" ht="39.75" customHeight="1" x14ac:dyDescent="0.25">
      <c r="A378" s="20"/>
      <c r="B378" s="129"/>
      <c r="C378" s="131" t="s">
        <v>44</v>
      </c>
      <c r="D378" s="99" t="s">
        <v>139</v>
      </c>
      <c r="E378" s="93">
        <v>1992.83</v>
      </c>
      <c r="F378" s="94">
        <v>5.6</v>
      </c>
      <c r="G378" s="94">
        <f>SUM(E378*F378)</f>
        <v>11159.847999999998</v>
      </c>
      <c r="H378" s="94">
        <f>SUM(E378*69)</f>
        <v>137505.26999999999</v>
      </c>
      <c r="I378" s="94"/>
      <c r="J378" s="94"/>
      <c r="K378" s="94"/>
      <c r="L378" s="94"/>
      <c r="M378" s="94"/>
      <c r="N378" s="94"/>
      <c r="O378" s="94"/>
      <c r="P378" s="220" t="s">
        <v>158</v>
      </c>
      <c r="Q378" s="73"/>
      <c r="R378" s="74"/>
      <c r="S378" s="47"/>
    </row>
    <row r="379" spans="1:19" s="2" customFormat="1" ht="39.75" customHeight="1" x14ac:dyDescent="0.25">
      <c r="A379" s="18"/>
      <c r="B379" s="122"/>
      <c r="C379" s="132" t="s">
        <v>44</v>
      </c>
      <c r="D379" s="100" t="s">
        <v>140</v>
      </c>
      <c r="E379" s="89">
        <f>SUM(E377:E378)</f>
        <v>64332.146000000001</v>
      </c>
      <c r="F379" s="89"/>
      <c r="G379" s="87">
        <f t="shared" ref="G379:H379" si="115">SUM(G377:G378)</f>
        <v>224079.21011999997</v>
      </c>
      <c r="H379" s="87">
        <f t="shared" si="115"/>
        <v>2003548.5960000001</v>
      </c>
      <c r="I379" s="87"/>
      <c r="J379" s="87"/>
      <c r="K379" s="87"/>
      <c r="L379" s="87"/>
      <c r="M379" s="87"/>
      <c r="N379" s="87"/>
      <c r="O379" s="87"/>
      <c r="P379" s="221" t="s">
        <v>142</v>
      </c>
      <c r="Q379" s="76"/>
      <c r="R379" s="77"/>
      <c r="S379" s="50"/>
    </row>
    <row r="380" spans="1:19" s="2" customFormat="1" ht="39.75" customHeight="1" x14ac:dyDescent="0.25">
      <c r="A380" s="20"/>
      <c r="B380" s="129"/>
      <c r="C380" s="131" t="s">
        <v>44</v>
      </c>
      <c r="D380" s="99" t="s">
        <v>144</v>
      </c>
      <c r="E380" s="93">
        <v>1759.07</v>
      </c>
      <c r="F380" s="94">
        <v>5.6</v>
      </c>
      <c r="G380" s="94">
        <v>9850.7919999999995</v>
      </c>
      <c r="H380" s="94">
        <v>121375.83</v>
      </c>
      <c r="I380" s="94"/>
      <c r="J380" s="94"/>
      <c r="K380" s="94"/>
      <c r="L380" s="94"/>
      <c r="M380" s="94"/>
      <c r="N380" s="94"/>
      <c r="O380" s="94"/>
      <c r="P380" s="220" t="s">
        <v>161</v>
      </c>
      <c r="Q380" s="73"/>
      <c r="R380" s="74"/>
      <c r="S380" s="47"/>
    </row>
    <row r="381" spans="1:19" s="2" customFormat="1" ht="39.75" customHeight="1" x14ac:dyDescent="0.25">
      <c r="A381" s="18"/>
      <c r="B381" s="122"/>
      <c r="C381" s="132" t="s">
        <v>44</v>
      </c>
      <c r="D381" s="100" t="s">
        <v>145</v>
      </c>
      <c r="E381" s="89">
        <f>SUM(E379:E380)</f>
        <v>66091.216</v>
      </c>
      <c r="F381" s="89"/>
      <c r="G381" s="87">
        <f t="shared" ref="G381:H381" si="116">SUM(G379:G380)</f>
        <v>233930.00211999996</v>
      </c>
      <c r="H381" s="87">
        <f t="shared" si="116"/>
        <v>2124924.426</v>
      </c>
      <c r="I381" s="87"/>
      <c r="J381" s="87"/>
      <c r="K381" s="87"/>
      <c r="L381" s="87"/>
      <c r="M381" s="87"/>
      <c r="N381" s="87"/>
      <c r="O381" s="87"/>
      <c r="P381" s="221" t="s">
        <v>162</v>
      </c>
      <c r="Q381" s="76"/>
      <c r="R381" s="77"/>
      <c r="S381" s="50"/>
    </row>
    <row r="382" spans="1:19" s="2" customFormat="1" ht="39.75" customHeight="1" x14ac:dyDescent="0.25">
      <c r="A382" s="20"/>
      <c r="B382" s="129"/>
      <c r="C382" s="131" t="s">
        <v>44</v>
      </c>
      <c r="D382" s="99" t="s">
        <v>169</v>
      </c>
      <c r="E382" s="93">
        <v>1492.62</v>
      </c>
      <c r="F382" s="94">
        <v>5.6</v>
      </c>
      <c r="G382" s="94">
        <f>E382*F382</f>
        <v>8358.6719999999987</v>
      </c>
      <c r="H382" s="94">
        <f>E382*82</f>
        <v>122394.84</v>
      </c>
      <c r="I382" s="94"/>
      <c r="J382" s="94"/>
      <c r="K382" s="94"/>
      <c r="L382" s="94"/>
      <c r="M382" s="94"/>
      <c r="N382" s="94"/>
      <c r="O382" s="94"/>
      <c r="P382" s="220" t="s">
        <v>178</v>
      </c>
      <c r="Q382" s="73"/>
      <c r="R382" s="74"/>
      <c r="S382" s="47"/>
    </row>
    <row r="383" spans="1:19" s="2" customFormat="1" ht="39.75" customHeight="1" x14ac:dyDescent="0.25">
      <c r="A383" s="18"/>
      <c r="B383" s="122"/>
      <c r="C383" s="132" t="s">
        <v>44</v>
      </c>
      <c r="D383" s="100" t="s">
        <v>167</v>
      </c>
      <c r="E383" s="89">
        <f>SUM(E381:E382)</f>
        <v>67583.835999999996</v>
      </c>
      <c r="F383" s="89"/>
      <c r="G383" s="87">
        <f t="shared" ref="G383:H383" si="117">SUM(G381:G382)</f>
        <v>242288.67411999995</v>
      </c>
      <c r="H383" s="87">
        <f t="shared" si="117"/>
        <v>2247319.2659999998</v>
      </c>
      <c r="I383" s="87"/>
      <c r="J383" s="87"/>
      <c r="K383" s="87"/>
      <c r="L383" s="87"/>
      <c r="M383" s="87"/>
      <c r="N383" s="87"/>
      <c r="O383" s="87"/>
      <c r="P383" s="221" t="s">
        <v>179</v>
      </c>
      <c r="Q383" s="76"/>
      <c r="R383" s="77"/>
      <c r="S383" s="50"/>
    </row>
    <row r="384" spans="1:19" s="2" customFormat="1" ht="39.75" customHeight="1" x14ac:dyDescent="0.25">
      <c r="A384" s="20"/>
      <c r="B384" s="129"/>
      <c r="C384" s="131" t="s">
        <v>44</v>
      </c>
      <c r="D384" s="99" t="s">
        <v>166</v>
      </c>
      <c r="E384" s="93">
        <v>1894.44</v>
      </c>
      <c r="F384" s="94">
        <v>5.6</v>
      </c>
      <c r="G384" s="94">
        <f>638.96*5.6</f>
        <v>3578.1759999999999</v>
      </c>
      <c r="H384" s="94">
        <f>638.96*82</f>
        <v>52394.720000000001</v>
      </c>
      <c r="I384" s="94">
        <f>1255.48*5.6</f>
        <v>7030.6880000000001</v>
      </c>
      <c r="J384" s="94">
        <f>1255.48*82</f>
        <v>102949.36</v>
      </c>
      <c r="K384" s="94"/>
      <c r="L384" s="94"/>
      <c r="M384" s="94"/>
      <c r="N384" s="94"/>
      <c r="O384" s="94"/>
      <c r="P384" s="220">
        <v>0</v>
      </c>
      <c r="Q384" s="73"/>
      <c r="R384" s="74"/>
      <c r="S384" s="47"/>
    </row>
    <row r="385" spans="1:19" s="2" customFormat="1" ht="39.75" customHeight="1" x14ac:dyDescent="0.25">
      <c r="A385" s="18"/>
      <c r="B385" s="122"/>
      <c r="C385" s="132" t="s">
        <v>44</v>
      </c>
      <c r="D385" s="100" t="s">
        <v>168</v>
      </c>
      <c r="E385" s="89">
        <f>SUM(E383:E384)</f>
        <v>69478.275999999998</v>
      </c>
      <c r="F385" s="89"/>
      <c r="G385" s="87">
        <f t="shared" ref="G385:J385" si="118">SUM(G383:G384)</f>
        <v>245866.85011999996</v>
      </c>
      <c r="H385" s="87">
        <f t="shared" si="118"/>
        <v>2299713.986</v>
      </c>
      <c r="I385" s="87">
        <f t="shared" si="118"/>
        <v>7030.6880000000001</v>
      </c>
      <c r="J385" s="87">
        <f t="shared" si="118"/>
        <v>102949.36</v>
      </c>
      <c r="K385" s="87"/>
      <c r="L385" s="87"/>
      <c r="M385" s="87"/>
      <c r="N385" s="87"/>
      <c r="O385" s="87"/>
      <c r="P385" s="221" t="s">
        <v>179</v>
      </c>
      <c r="Q385" s="76"/>
      <c r="R385" s="77"/>
      <c r="S385" s="50"/>
    </row>
    <row r="386" spans="1:19" s="236" customFormat="1" ht="39.75" customHeight="1" x14ac:dyDescent="0.25">
      <c r="A386" s="230"/>
      <c r="B386" s="237"/>
      <c r="C386" s="131" t="s">
        <v>44</v>
      </c>
      <c r="D386" s="99" t="s">
        <v>195</v>
      </c>
      <c r="E386" s="231">
        <v>1850.44</v>
      </c>
      <c r="F386" s="94">
        <v>5.6</v>
      </c>
      <c r="G386" s="94">
        <f>1255.48*5.6</f>
        <v>7030.6880000000001</v>
      </c>
      <c r="H386" s="94">
        <f>1255.48*82</f>
        <v>102949.36</v>
      </c>
      <c r="I386" s="232">
        <f>E386*5.6</f>
        <v>10362.464</v>
      </c>
      <c r="J386" s="232">
        <f>E386*82</f>
        <v>151736.08000000002</v>
      </c>
      <c r="K386" s="232"/>
      <c r="L386" s="232"/>
      <c r="M386" s="232"/>
      <c r="N386" s="232"/>
      <c r="O386" s="232"/>
      <c r="P386" s="220">
        <v>0</v>
      </c>
      <c r="Q386" s="247"/>
      <c r="R386" s="248"/>
      <c r="S386" s="235"/>
    </row>
    <row r="387" spans="1:19" s="2" customFormat="1" ht="39.75" customHeight="1" x14ac:dyDescent="0.25">
      <c r="A387" s="18"/>
      <c r="B387" s="122"/>
      <c r="C387" s="132" t="s">
        <v>44</v>
      </c>
      <c r="D387" s="100" t="s">
        <v>196</v>
      </c>
      <c r="E387" s="89">
        <f>SUM(E385:E386)</f>
        <v>71328.716</v>
      </c>
      <c r="F387" s="89"/>
      <c r="G387" s="87">
        <f>SUM(G385:G386)</f>
        <v>252897.53811999995</v>
      </c>
      <c r="H387" s="87">
        <f>SUM(H385:H386)</f>
        <v>2402663.3459999999</v>
      </c>
      <c r="I387" s="87">
        <v>10362.459999999999</v>
      </c>
      <c r="J387" s="87">
        <v>151736.07999999999</v>
      </c>
      <c r="K387" s="87"/>
      <c r="L387" s="87"/>
      <c r="M387" s="87"/>
      <c r="N387" s="87"/>
      <c r="O387" s="87"/>
      <c r="P387" s="221" t="s">
        <v>179</v>
      </c>
      <c r="Q387" s="76"/>
      <c r="R387" s="77"/>
      <c r="S387" s="50"/>
    </row>
    <row r="388" spans="1:19" s="236" customFormat="1" ht="39.75" customHeight="1" x14ac:dyDescent="0.25">
      <c r="A388" s="230"/>
      <c r="B388" s="237"/>
      <c r="C388" s="131" t="s">
        <v>44</v>
      </c>
      <c r="D388" s="99" t="s">
        <v>201</v>
      </c>
      <c r="E388" s="231">
        <v>1666.71</v>
      </c>
      <c r="F388" s="94">
        <v>5.6</v>
      </c>
      <c r="G388" s="232">
        <f>2425.96*5.6</f>
        <v>13585.376</v>
      </c>
      <c r="H388" s="232">
        <f>2425.96*82</f>
        <v>198928.72</v>
      </c>
      <c r="I388" s="232">
        <f>1091.19*5.6</f>
        <v>6110.6639999999998</v>
      </c>
      <c r="J388" s="232">
        <f>1091.19*82</f>
        <v>89477.58</v>
      </c>
      <c r="K388" s="232"/>
      <c r="L388" s="232"/>
      <c r="M388" s="232"/>
      <c r="N388" s="232"/>
      <c r="O388" s="232"/>
      <c r="P388" s="220">
        <v>0</v>
      </c>
      <c r="Q388" s="247"/>
      <c r="R388" s="248"/>
      <c r="S388" s="235"/>
    </row>
    <row r="389" spans="1:19" s="2" customFormat="1" ht="39.75" customHeight="1" x14ac:dyDescent="0.25">
      <c r="A389" s="18"/>
      <c r="B389" s="122"/>
      <c r="C389" s="132" t="s">
        <v>44</v>
      </c>
      <c r="D389" s="100" t="s">
        <v>202</v>
      </c>
      <c r="E389" s="89">
        <f>SUM(E387:E388)</f>
        <v>72995.426000000007</v>
      </c>
      <c r="F389" s="89"/>
      <c r="G389" s="87">
        <f>SUM(G387:G388)</f>
        <v>266482.91411999997</v>
      </c>
      <c r="H389" s="87">
        <f>SUM(H387:H388)</f>
        <v>2601592.0660000001</v>
      </c>
      <c r="I389" s="87">
        <v>6110.66</v>
      </c>
      <c r="J389" s="87">
        <v>89477.58</v>
      </c>
      <c r="K389" s="87"/>
      <c r="L389" s="87"/>
      <c r="M389" s="87"/>
      <c r="N389" s="87"/>
      <c r="O389" s="87"/>
      <c r="P389" s="221" t="s">
        <v>179</v>
      </c>
      <c r="Q389" s="76"/>
      <c r="R389" s="77"/>
      <c r="S389" s="50"/>
    </row>
    <row r="390" spans="1:19" s="236" customFormat="1" ht="39.75" customHeight="1" x14ac:dyDescent="0.25">
      <c r="A390" s="230"/>
      <c r="B390" s="237"/>
      <c r="C390" s="131" t="s">
        <v>44</v>
      </c>
      <c r="D390" s="99" t="s">
        <v>208</v>
      </c>
      <c r="E390" s="231">
        <v>1420.88</v>
      </c>
      <c r="F390" s="94">
        <v>5.6</v>
      </c>
      <c r="G390" s="232"/>
      <c r="H390" s="232"/>
      <c r="I390" s="232">
        <f>1420.88*5.6</f>
        <v>7956.9279999999999</v>
      </c>
      <c r="J390" s="232">
        <f>1420.88*95</f>
        <v>134983.6</v>
      </c>
      <c r="K390" s="232"/>
      <c r="L390" s="232"/>
      <c r="M390" s="232"/>
      <c r="N390" s="232"/>
      <c r="O390" s="232"/>
      <c r="P390" s="233"/>
      <c r="Q390" s="247"/>
      <c r="R390" s="248"/>
      <c r="S390" s="235"/>
    </row>
    <row r="391" spans="1:19" s="2" customFormat="1" ht="39.75" customHeight="1" x14ac:dyDescent="0.25">
      <c r="A391" s="18"/>
      <c r="B391" s="122"/>
      <c r="C391" s="132" t="s">
        <v>44</v>
      </c>
      <c r="D391" s="100" t="s">
        <v>209</v>
      </c>
      <c r="E391" s="89">
        <f>SUM(E389:E390)</f>
        <v>74416.306000000011</v>
      </c>
      <c r="F391" s="89"/>
      <c r="G391" s="87">
        <f>SUM(G389:G390)</f>
        <v>266482.91411999997</v>
      </c>
      <c r="H391" s="87">
        <f>SUM(H389:H390)</f>
        <v>2601592.0660000001</v>
      </c>
      <c r="I391" s="87">
        <f>SUM(I389:I390)</f>
        <v>14067.588</v>
      </c>
      <c r="J391" s="87">
        <f>SUM(J389:J390)</f>
        <v>224461.18</v>
      </c>
      <c r="K391" s="87"/>
      <c r="L391" s="87"/>
      <c r="M391" s="87"/>
      <c r="N391" s="87"/>
      <c r="O391" s="87"/>
      <c r="P391" s="221" t="s">
        <v>213</v>
      </c>
      <c r="Q391" s="76"/>
      <c r="R391" s="77"/>
      <c r="S391" s="50"/>
    </row>
    <row r="392" spans="1:19" s="236" customFormat="1" ht="39.75" customHeight="1" x14ac:dyDescent="0.25">
      <c r="A392" s="230"/>
      <c r="B392" s="237"/>
      <c r="C392" s="131" t="s">
        <v>44</v>
      </c>
      <c r="D392" s="99" t="s">
        <v>216</v>
      </c>
      <c r="E392" s="231">
        <v>1850.88</v>
      </c>
      <c r="F392" s="231"/>
      <c r="G392" s="232">
        <f>1979.69*5.6</f>
        <v>11086.263999999999</v>
      </c>
      <c r="H392" s="232">
        <f>89477.58+888.5*95</f>
        <v>173885.08000000002</v>
      </c>
      <c r="I392" s="232">
        <f>2383.26*5.6</f>
        <v>13346.256000000001</v>
      </c>
      <c r="J392" s="232">
        <f>2383.26*95</f>
        <v>226409.7</v>
      </c>
      <c r="K392" s="232"/>
      <c r="L392" s="232"/>
      <c r="M392" s="232"/>
      <c r="N392" s="232"/>
      <c r="O392" s="232"/>
      <c r="P392" s="233"/>
      <c r="Q392" s="247"/>
      <c r="R392" s="248"/>
      <c r="S392" s="235"/>
    </row>
    <row r="393" spans="1:19" s="2" customFormat="1" ht="39.75" customHeight="1" x14ac:dyDescent="0.25">
      <c r="A393" s="18"/>
      <c r="B393" s="122"/>
      <c r="C393" s="132" t="s">
        <v>44</v>
      </c>
      <c r="D393" s="100" t="s">
        <v>217</v>
      </c>
      <c r="E393" s="89">
        <f>SUM(E391:E392)</f>
        <v>76267.186000000016</v>
      </c>
      <c r="F393" s="89"/>
      <c r="G393" s="87">
        <f>SUM(G391:G392)</f>
        <v>277569.17812</v>
      </c>
      <c r="H393" s="87">
        <f>SUM(H391:H392)</f>
        <v>2775477.1460000002</v>
      </c>
      <c r="I393" s="87">
        <v>13346.26</v>
      </c>
      <c r="J393" s="87">
        <v>226409.7</v>
      </c>
      <c r="K393" s="87"/>
      <c r="L393" s="87"/>
      <c r="M393" s="87"/>
      <c r="N393" s="87"/>
      <c r="O393" s="87"/>
      <c r="P393" s="221" t="s">
        <v>213</v>
      </c>
      <c r="Q393" s="76"/>
      <c r="R393" s="77"/>
      <c r="S393" s="50"/>
    </row>
    <row r="394" spans="1:19" x14ac:dyDescent="0.25">
      <c r="A394" s="23"/>
      <c r="B394" s="23"/>
      <c r="C394" s="23"/>
      <c r="D394" s="36"/>
      <c r="E394" s="53"/>
      <c r="F394" s="35"/>
      <c r="G394" s="35"/>
      <c r="H394" s="35"/>
      <c r="I394" s="35"/>
      <c r="J394" s="35"/>
      <c r="K394" s="36"/>
      <c r="L394" s="36"/>
      <c r="M394" s="36"/>
      <c r="N394" s="36"/>
      <c r="O394" s="36"/>
      <c r="P394" s="36"/>
      <c r="Q394" s="36"/>
      <c r="R394" s="72"/>
      <c r="S394" s="55"/>
    </row>
    <row r="395" spans="1:19" ht="34.5" customHeight="1" x14ac:dyDescent="0.25">
      <c r="A395" s="16"/>
      <c r="B395" s="115" t="s">
        <v>40</v>
      </c>
      <c r="C395" s="136" t="s">
        <v>47</v>
      </c>
      <c r="D395" s="160">
        <v>2011</v>
      </c>
      <c r="E395" s="161">
        <v>1075.76</v>
      </c>
      <c r="F395" s="141">
        <v>3.18</v>
      </c>
      <c r="G395" s="94">
        <f>E395*F395</f>
        <v>3420.9168</v>
      </c>
      <c r="H395" s="94">
        <v>3227.28</v>
      </c>
      <c r="I395" s="84"/>
      <c r="J395" s="84"/>
      <c r="K395" s="84"/>
      <c r="L395" s="119"/>
      <c r="M395" s="119"/>
      <c r="N395" s="119"/>
      <c r="O395" s="119"/>
      <c r="P395" s="84">
        <v>0</v>
      </c>
      <c r="Q395" s="38"/>
      <c r="R395" s="75"/>
      <c r="S395" s="51"/>
    </row>
    <row r="396" spans="1:19" ht="25.5" x14ac:dyDescent="0.25">
      <c r="A396" s="16"/>
      <c r="B396" s="119"/>
      <c r="C396" s="136" t="s">
        <v>47</v>
      </c>
      <c r="D396" s="160">
        <v>2012</v>
      </c>
      <c r="E396" s="161">
        <v>2871.61</v>
      </c>
      <c r="F396" s="141">
        <v>3.18</v>
      </c>
      <c r="G396" s="94">
        <f>E396*F396</f>
        <v>9131.7198000000008</v>
      </c>
      <c r="H396" s="94">
        <v>25844.49</v>
      </c>
      <c r="I396" s="84"/>
      <c r="J396" s="84"/>
      <c r="K396" s="84"/>
      <c r="L396" s="119"/>
      <c r="M396" s="119"/>
      <c r="N396" s="119"/>
      <c r="O396" s="119"/>
      <c r="P396" s="84">
        <v>0</v>
      </c>
      <c r="Q396" s="38"/>
      <c r="R396" s="75"/>
      <c r="S396" s="51"/>
    </row>
    <row r="397" spans="1:19" ht="35.25" customHeight="1" x14ac:dyDescent="0.25">
      <c r="A397" s="18"/>
      <c r="B397" s="122"/>
      <c r="C397" s="132" t="s">
        <v>47</v>
      </c>
      <c r="D397" s="96" t="s">
        <v>25</v>
      </c>
      <c r="E397" s="89">
        <f>SUM(E395:E396)</f>
        <v>3947.37</v>
      </c>
      <c r="F397" s="89"/>
      <c r="G397" s="87">
        <f t="shared" ref="G397:H397" si="119">SUM(G395:G396)</f>
        <v>12552.636600000002</v>
      </c>
      <c r="H397" s="87">
        <f t="shared" si="119"/>
        <v>29071.77</v>
      </c>
      <c r="I397" s="87"/>
      <c r="J397" s="87"/>
      <c r="K397" s="87"/>
      <c r="L397" s="122"/>
      <c r="M397" s="122"/>
      <c r="N397" s="122"/>
      <c r="O397" s="122"/>
      <c r="P397" s="87">
        <v>0</v>
      </c>
      <c r="Q397" s="76"/>
      <c r="R397" s="77"/>
      <c r="S397" s="50"/>
    </row>
    <row r="398" spans="1:19" ht="25.5" x14ac:dyDescent="0.25">
      <c r="A398" s="16"/>
      <c r="B398" s="119"/>
      <c r="C398" s="136" t="s">
        <v>47</v>
      </c>
      <c r="D398" s="160">
        <v>2013</v>
      </c>
      <c r="E398" s="161">
        <v>1434.904</v>
      </c>
      <c r="F398" s="141">
        <v>3.18</v>
      </c>
      <c r="G398" s="94">
        <f>E398*F398</f>
        <v>4562.9947200000006</v>
      </c>
      <c r="H398" s="94">
        <v>21523.56</v>
      </c>
      <c r="I398" s="84"/>
      <c r="J398" s="84"/>
      <c r="K398" s="84"/>
      <c r="L398" s="119"/>
      <c r="M398" s="119"/>
      <c r="N398" s="119"/>
      <c r="O398" s="119"/>
      <c r="P398" s="84">
        <v>0</v>
      </c>
      <c r="Q398" s="38"/>
      <c r="R398" s="75"/>
      <c r="S398" s="51"/>
    </row>
    <row r="399" spans="1:19" ht="36" customHeight="1" x14ac:dyDescent="0.25">
      <c r="A399" s="18"/>
      <c r="B399" s="122"/>
      <c r="C399" s="132" t="s">
        <v>47</v>
      </c>
      <c r="D399" s="96" t="s">
        <v>38</v>
      </c>
      <c r="E399" s="89">
        <f>SUM(E397:E398)</f>
        <v>5382.2739999999994</v>
      </c>
      <c r="F399" s="89"/>
      <c r="G399" s="87">
        <f t="shared" ref="G399:H399" si="120">SUM(G397:G398)</f>
        <v>17115.63132</v>
      </c>
      <c r="H399" s="87">
        <f t="shared" si="120"/>
        <v>50595.33</v>
      </c>
      <c r="I399" s="87"/>
      <c r="J399" s="87"/>
      <c r="K399" s="87"/>
      <c r="L399" s="122"/>
      <c r="M399" s="122"/>
      <c r="N399" s="122"/>
      <c r="O399" s="122"/>
      <c r="P399" s="87">
        <v>0</v>
      </c>
      <c r="Q399" s="76"/>
      <c r="R399" s="77"/>
      <c r="S399" s="50"/>
    </row>
    <row r="400" spans="1:19" ht="25.5" x14ac:dyDescent="0.25">
      <c r="A400" s="16"/>
      <c r="B400" s="119"/>
      <c r="C400" s="136" t="s">
        <v>47</v>
      </c>
      <c r="D400" s="160">
        <v>2014</v>
      </c>
      <c r="E400" s="161">
        <v>1424.74</v>
      </c>
      <c r="F400" s="141">
        <v>3.18</v>
      </c>
      <c r="G400" s="142">
        <f>E400*F400</f>
        <v>4530.6732000000002</v>
      </c>
      <c r="H400" s="142">
        <v>31344.28</v>
      </c>
      <c r="I400" s="92"/>
      <c r="J400" s="92"/>
      <c r="K400" s="84"/>
      <c r="L400" s="119"/>
      <c r="M400" s="119"/>
      <c r="N400" s="119"/>
      <c r="O400" s="119"/>
      <c r="P400" s="84">
        <v>0</v>
      </c>
      <c r="Q400" s="38"/>
      <c r="R400" s="75"/>
      <c r="S400" s="51"/>
    </row>
    <row r="401" spans="1:19" ht="38.25" customHeight="1" x14ac:dyDescent="0.25">
      <c r="A401" s="18"/>
      <c r="B401" s="122"/>
      <c r="C401" s="132" t="s">
        <v>47</v>
      </c>
      <c r="D401" s="96" t="s">
        <v>24</v>
      </c>
      <c r="E401" s="89">
        <f>SUM(E399:E400)</f>
        <v>6807.0139999999992</v>
      </c>
      <c r="F401" s="89"/>
      <c r="G401" s="87">
        <f t="shared" ref="G401:H401" si="121">SUM(G399:G400)</f>
        <v>21646.304520000002</v>
      </c>
      <c r="H401" s="87">
        <f t="shared" si="121"/>
        <v>81939.61</v>
      </c>
      <c r="I401" s="87"/>
      <c r="J401" s="87"/>
      <c r="K401" s="87"/>
      <c r="L401" s="122"/>
      <c r="M401" s="122"/>
      <c r="N401" s="122"/>
      <c r="O401" s="122"/>
      <c r="P401" s="87">
        <v>0</v>
      </c>
      <c r="Q401" s="76"/>
      <c r="R401" s="77"/>
      <c r="S401" s="50"/>
    </row>
    <row r="402" spans="1:19" ht="25.5" x14ac:dyDescent="0.25">
      <c r="A402" s="16"/>
      <c r="B402" s="119"/>
      <c r="C402" s="136" t="s">
        <v>47</v>
      </c>
      <c r="D402" s="160">
        <v>2015</v>
      </c>
      <c r="E402" s="161">
        <v>1870.96</v>
      </c>
      <c r="F402" s="141">
        <v>3.37</v>
      </c>
      <c r="G402" s="142">
        <f>E402*F402</f>
        <v>6305.1352000000006</v>
      </c>
      <c r="H402" s="142">
        <v>52386.879999999997</v>
      </c>
      <c r="I402" s="92"/>
      <c r="J402" s="92"/>
      <c r="K402" s="84"/>
      <c r="L402" s="119"/>
      <c r="M402" s="119"/>
      <c r="N402" s="119"/>
      <c r="O402" s="119"/>
      <c r="P402" s="84">
        <v>0</v>
      </c>
      <c r="Q402" s="38"/>
      <c r="R402" s="75"/>
      <c r="S402" s="51"/>
    </row>
    <row r="403" spans="1:19" ht="39" customHeight="1" x14ac:dyDescent="0.25">
      <c r="A403" s="18"/>
      <c r="B403" s="122"/>
      <c r="C403" s="132" t="s">
        <v>47</v>
      </c>
      <c r="D403" s="96" t="s">
        <v>26</v>
      </c>
      <c r="E403" s="89">
        <f>SUM(E401:E402)</f>
        <v>8677.9739999999983</v>
      </c>
      <c r="F403" s="89"/>
      <c r="G403" s="87">
        <f t="shared" ref="G403:H403" si="122">SUM(G401:G402)</f>
        <v>27951.439720000002</v>
      </c>
      <c r="H403" s="87">
        <f t="shared" si="122"/>
        <v>134326.49</v>
      </c>
      <c r="I403" s="87"/>
      <c r="J403" s="87"/>
      <c r="K403" s="87"/>
      <c r="L403" s="122"/>
      <c r="M403" s="122"/>
      <c r="N403" s="122"/>
      <c r="O403" s="122"/>
      <c r="P403" s="87">
        <v>0</v>
      </c>
      <c r="Q403" s="76"/>
      <c r="R403" s="77"/>
      <c r="S403" s="50"/>
    </row>
    <row r="404" spans="1:19" ht="25.5" x14ac:dyDescent="0.25">
      <c r="A404" s="16"/>
      <c r="B404" s="119"/>
      <c r="C404" s="136" t="s">
        <v>47</v>
      </c>
      <c r="D404" s="99" t="s">
        <v>29</v>
      </c>
      <c r="E404" s="137">
        <v>470.26</v>
      </c>
      <c r="F404" s="141">
        <v>3.37</v>
      </c>
      <c r="G404" s="94">
        <f>E404*F404</f>
        <v>1584.7762</v>
      </c>
      <c r="H404" s="94">
        <v>16929.36</v>
      </c>
      <c r="I404" s="84"/>
      <c r="J404" s="84"/>
      <c r="K404" s="84"/>
      <c r="L404" s="119"/>
      <c r="M404" s="119"/>
      <c r="N404" s="119"/>
      <c r="O404" s="119"/>
      <c r="P404" s="84">
        <v>0</v>
      </c>
      <c r="Q404" s="38"/>
      <c r="R404" s="75"/>
      <c r="S404" s="51"/>
    </row>
    <row r="405" spans="1:19" ht="38.25" x14ac:dyDescent="0.25">
      <c r="A405" s="18"/>
      <c r="B405" s="122"/>
      <c r="C405" s="132" t="s">
        <v>47</v>
      </c>
      <c r="D405" s="100" t="s">
        <v>30</v>
      </c>
      <c r="E405" s="89">
        <f>SUM(E403:E404)</f>
        <v>9148.2339999999986</v>
      </c>
      <c r="F405" s="89"/>
      <c r="G405" s="87">
        <f t="shared" ref="G405:H405" si="123">SUM(G403:G404)</f>
        <v>29536.215920000002</v>
      </c>
      <c r="H405" s="87">
        <f t="shared" si="123"/>
        <v>151255.84999999998</v>
      </c>
      <c r="I405" s="87"/>
      <c r="J405" s="87"/>
      <c r="K405" s="87"/>
      <c r="L405" s="122"/>
      <c r="M405" s="122"/>
      <c r="N405" s="122"/>
      <c r="O405" s="122"/>
      <c r="P405" s="87">
        <v>0</v>
      </c>
      <c r="Q405" s="76"/>
      <c r="R405" s="77"/>
      <c r="S405" s="50"/>
    </row>
    <row r="406" spans="1:19" ht="25.5" x14ac:dyDescent="0.25">
      <c r="A406" s="16"/>
      <c r="B406" s="119"/>
      <c r="C406" s="136" t="s">
        <v>47</v>
      </c>
      <c r="D406" s="99" t="s">
        <v>31</v>
      </c>
      <c r="E406" s="137">
        <v>762.94</v>
      </c>
      <c r="F406" s="141">
        <v>3.37</v>
      </c>
      <c r="G406" s="94">
        <f>E406*F406</f>
        <v>2571.1078000000002</v>
      </c>
      <c r="H406" s="94">
        <v>27465.84</v>
      </c>
      <c r="I406" s="84"/>
      <c r="J406" s="84"/>
      <c r="K406" s="84"/>
      <c r="L406" s="119"/>
      <c r="M406" s="119"/>
      <c r="N406" s="119"/>
      <c r="O406" s="119"/>
      <c r="P406" s="84">
        <v>0</v>
      </c>
      <c r="Q406" s="38"/>
      <c r="R406" s="75"/>
      <c r="S406" s="51"/>
    </row>
    <row r="407" spans="1:19" ht="38.25" x14ac:dyDescent="0.25">
      <c r="A407" s="18"/>
      <c r="B407" s="122"/>
      <c r="C407" s="132" t="s">
        <v>47</v>
      </c>
      <c r="D407" s="100" t="s">
        <v>32</v>
      </c>
      <c r="E407" s="89">
        <f>SUM(E405:E406)</f>
        <v>9911.1739999999991</v>
      </c>
      <c r="F407" s="89"/>
      <c r="G407" s="87">
        <f t="shared" ref="G407:H407" si="124">SUM(G405:G406)</f>
        <v>32107.323720000004</v>
      </c>
      <c r="H407" s="87">
        <f t="shared" si="124"/>
        <v>178721.68999999997</v>
      </c>
      <c r="I407" s="87"/>
      <c r="J407" s="87"/>
      <c r="K407" s="87"/>
      <c r="L407" s="122"/>
      <c r="M407" s="122"/>
      <c r="N407" s="122"/>
      <c r="O407" s="122"/>
      <c r="P407" s="87">
        <v>0</v>
      </c>
      <c r="Q407" s="76"/>
      <c r="R407" s="77"/>
      <c r="S407" s="50"/>
    </row>
    <row r="408" spans="1:19" ht="25.5" x14ac:dyDescent="0.25">
      <c r="A408" s="16"/>
      <c r="B408" s="119"/>
      <c r="C408" s="136" t="s">
        <v>47</v>
      </c>
      <c r="D408" s="99" t="s">
        <v>33</v>
      </c>
      <c r="E408" s="137">
        <v>658.44</v>
      </c>
      <c r="F408" s="141">
        <v>3.37</v>
      </c>
      <c r="G408" s="94">
        <f>E408*F408</f>
        <v>2218.9428000000003</v>
      </c>
      <c r="H408" s="94">
        <v>23703.84</v>
      </c>
      <c r="I408" s="84"/>
      <c r="J408" s="84"/>
      <c r="K408" s="84"/>
      <c r="L408" s="119"/>
      <c r="M408" s="119"/>
      <c r="N408" s="119"/>
      <c r="O408" s="119"/>
      <c r="P408" s="84">
        <v>127866.65</v>
      </c>
      <c r="Q408" s="38"/>
      <c r="R408" s="75"/>
      <c r="S408" s="51"/>
    </row>
    <row r="409" spans="1:19" ht="38.25" x14ac:dyDescent="0.25">
      <c r="A409" s="18"/>
      <c r="B409" s="122"/>
      <c r="C409" s="132" t="s">
        <v>47</v>
      </c>
      <c r="D409" s="100" t="s">
        <v>35</v>
      </c>
      <c r="E409" s="89">
        <f>SUM(E407:E408)</f>
        <v>10569.614</v>
      </c>
      <c r="F409" s="89"/>
      <c r="G409" s="87">
        <f t="shared" ref="G409:H409" si="125">SUM(G407:G408)</f>
        <v>34326.266520000005</v>
      </c>
      <c r="H409" s="87">
        <f t="shared" si="125"/>
        <v>202425.52999999997</v>
      </c>
      <c r="I409" s="87"/>
      <c r="J409" s="87"/>
      <c r="K409" s="87"/>
      <c r="L409" s="122"/>
      <c r="M409" s="122"/>
      <c r="N409" s="122"/>
      <c r="O409" s="122"/>
      <c r="P409" s="87">
        <v>127866.65</v>
      </c>
      <c r="Q409" s="76"/>
      <c r="R409" s="77"/>
      <c r="S409" s="50"/>
    </row>
    <row r="410" spans="1:19" ht="25.5" x14ac:dyDescent="0.25">
      <c r="A410" s="16"/>
      <c r="B410" s="119"/>
      <c r="C410" s="136" t="s">
        <v>47</v>
      </c>
      <c r="D410" s="99" t="s">
        <v>34</v>
      </c>
      <c r="E410" s="137">
        <v>912.56</v>
      </c>
      <c r="F410" s="141">
        <v>3.37</v>
      </c>
      <c r="G410" s="94">
        <f>E410*F410</f>
        <v>3075.3271999999997</v>
      </c>
      <c r="H410" s="94">
        <v>32852.160000000003</v>
      </c>
      <c r="I410" s="84"/>
      <c r="J410" s="84"/>
      <c r="K410" s="84"/>
      <c r="L410" s="119"/>
      <c r="M410" s="119"/>
      <c r="N410" s="119"/>
      <c r="O410" s="119"/>
      <c r="P410" s="84">
        <v>0</v>
      </c>
      <c r="Q410" s="38"/>
      <c r="R410" s="75"/>
      <c r="S410" s="51"/>
    </row>
    <row r="411" spans="1:19" ht="38.25" x14ac:dyDescent="0.25">
      <c r="A411" s="18"/>
      <c r="B411" s="122"/>
      <c r="C411" s="132" t="s">
        <v>47</v>
      </c>
      <c r="D411" s="100" t="s">
        <v>36</v>
      </c>
      <c r="E411" s="89">
        <f>SUM(E409:E410)</f>
        <v>11482.173999999999</v>
      </c>
      <c r="F411" s="89"/>
      <c r="G411" s="87">
        <f t="shared" ref="G411:H411" si="126">SUM(G409:G410)</f>
        <v>37401.593720000004</v>
      </c>
      <c r="H411" s="87">
        <f t="shared" si="126"/>
        <v>235277.68999999997</v>
      </c>
      <c r="I411" s="87"/>
      <c r="J411" s="87"/>
      <c r="K411" s="87"/>
      <c r="L411" s="122"/>
      <c r="M411" s="122"/>
      <c r="N411" s="122"/>
      <c r="O411" s="122"/>
      <c r="P411" s="87">
        <v>127866.65</v>
      </c>
      <c r="Q411" s="76"/>
      <c r="R411" s="77"/>
      <c r="S411" s="50"/>
    </row>
    <row r="412" spans="1:19" s="2" customFormat="1" ht="25.5" x14ac:dyDescent="0.25">
      <c r="A412" s="20"/>
      <c r="B412" s="129"/>
      <c r="C412" s="131" t="s">
        <v>47</v>
      </c>
      <c r="D412" s="99" t="s">
        <v>57</v>
      </c>
      <c r="E412" s="93">
        <v>736.56</v>
      </c>
      <c r="F412" s="94">
        <v>3.37</v>
      </c>
      <c r="G412" s="94">
        <f>E412*F412</f>
        <v>2482.2071999999998</v>
      </c>
      <c r="H412" s="94">
        <v>29462.400000000001</v>
      </c>
      <c r="I412" s="94"/>
      <c r="J412" s="94"/>
      <c r="K412" s="94"/>
      <c r="L412" s="129"/>
      <c r="M412" s="129"/>
      <c r="N412" s="129"/>
      <c r="O412" s="129"/>
      <c r="P412" s="94">
        <v>0</v>
      </c>
      <c r="Q412" s="73"/>
      <c r="R412" s="74"/>
      <c r="S412" s="47"/>
    </row>
    <row r="413" spans="1:19" s="2" customFormat="1" ht="38.25" x14ac:dyDescent="0.25">
      <c r="A413" s="18"/>
      <c r="B413" s="122"/>
      <c r="C413" s="132" t="s">
        <v>47</v>
      </c>
      <c r="D413" s="100" t="s">
        <v>58</v>
      </c>
      <c r="E413" s="89">
        <f>SUM(E411:E412)</f>
        <v>12218.733999999999</v>
      </c>
      <c r="F413" s="89"/>
      <c r="G413" s="87">
        <f t="shared" ref="G413:H413" si="127">SUM(G411:G412)</f>
        <v>39883.800920000001</v>
      </c>
      <c r="H413" s="87">
        <f t="shared" si="127"/>
        <v>264740.08999999997</v>
      </c>
      <c r="I413" s="87"/>
      <c r="J413" s="87"/>
      <c r="K413" s="87"/>
      <c r="L413" s="122"/>
      <c r="M413" s="122"/>
      <c r="N413" s="122"/>
      <c r="O413" s="122"/>
      <c r="P413" s="87">
        <v>127866.65</v>
      </c>
      <c r="Q413" s="76"/>
      <c r="R413" s="77"/>
      <c r="S413" s="50"/>
    </row>
    <row r="414" spans="1:19" s="2" customFormat="1" ht="25.5" x14ac:dyDescent="0.25">
      <c r="A414" s="20"/>
      <c r="B414" s="129"/>
      <c r="C414" s="131" t="s">
        <v>47</v>
      </c>
      <c r="D414" s="99" t="s">
        <v>61</v>
      </c>
      <c r="E414" s="93">
        <v>1067.3399999999999</v>
      </c>
      <c r="F414" s="94">
        <v>3.37</v>
      </c>
      <c r="G414" s="94">
        <f>E414*F414</f>
        <v>3596.9357999999997</v>
      </c>
      <c r="H414" s="94">
        <v>42693.599999999999</v>
      </c>
      <c r="I414" s="94"/>
      <c r="J414" s="94"/>
      <c r="K414" s="94"/>
      <c r="L414" s="129"/>
      <c r="M414" s="129"/>
      <c r="N414" s="129"/>
      <c r="O414" s="129"/>
      <c r="P414" s="94">
        <v>96962.46</v>
      </c>
      <c r="Q414" s="73"/>
      <c r="R414" s="74"/>
      <c r="S414" s="47"/>
    </row>
    <row r="415" spans="1:19" s="2" customFormat="1" ht="38.25" customHeight="1" x14ac:dyDescent="0.25">
      <c r="A415" s="18"/>
      <c r="B415" s="122"/>
      <c r="C415" s="132" t="s">
        <v>47</v>
      </c>
      <c r="D415" s="100" t="s">
        <v>63</v>
      </c>
      <c r="E415" s="89">
        <f>SUM(E413:E414)</f>
        <v>13286.073999999999</v>
      </c>
      <c r="F415" s="89"/>
      <c r="G415" s="87">
        <f t="shared" ref="G415:H415" si="128">SUM(G413:G414)</f>
        <v>43480.736720000001</v>
      </c>
      <c r="H415" s="87">
        <f t="shared" si="128"/>
        <v>307433.68999999994</v>
      </c>
      <c r="I415" s="87"/>
      <c r="J415" s="87"/>
      <c r="K415" s="87"/>
      <c r="L415" s="122"/>
      <c r="M415" s="122"/>
      <c r="N415" s="122"/>
      <c r="O415" s="122"/>
      <c r="P415" s="87">
        <f>SUM(P413:P414)</f>
        <v>224829.11</v>
      </c>
      <c r="Q415" s="76"/>
      <c r="R415" s="77"/>
      <c r="S415" s="50"/>
    </row>
    <row r="416" spans="1:19" s="2" customFormat="1" ht="27" customHeight="1" x14ac:dyDescent="0.25">
      <c r="A416" s="20"/>
      <c r="B416" s="129"/>
      <c r="C416" s="131" t="s">
        <v>47</v>
      </c>
      <c r="D416" s="99" t="s">
        <v>64</v>
      </c>
      <c r="E416" s="93">
        <v>658.3</v>
      </c>
      <c r="F416" s="94">
        <v>3.37</v>
      </c>
      <c r="G416" s="94">
        <f>E416*F416</f>
        <v>2218.471</v>
      </c>
      <c r="H416" s="94">
        <v>26332</v>
      </c>
      <c r="I416" s="94"/>
      <c r="J416" s="94"/>
      <c r="K416" s="94"/>
      <c r="L416" s="129"/>
      <c r="M416" s="129"/>
      <c r="N416" s="129"/>
      <c r="O416" s="129"/>
      <c r="P416" s="94">
        <v>0</v>
      </c>
      <c r="Q416" s="73"/>
      <c r="R416" s="74"/>
      <c r="S416" s="47"/>
    </row>
    <row r="417" spans="1:19" s="2" customFormat="1" ht="38.25" customHeight="1" x14ac:dyDescent="0.25">
      <c r="A417" s="18"/>
      <c r="B417" s="122"/>
      <c r="C417" s="132" t="s">
        <v>47</v>
      </c>
      <c r="D417" s="100" t="s">
        <v>65</v>
      </c>
      <c r="E417" s="89">
        <f>SUM(E415:E416)</f>
        <v>13944.373999999998</v>
      </c>
      <c r="F417" s="89"/>
      <c r="G417" s="87">
        <f t="shared" ref="G417:H417" si="129">SUM(G415:G416)</f>
        <v>45699.207719999999</v>
      </c>
      <c r="H417" s="87">
        <f t="shared" si="129"/>
        <v>333765.68999999994</v>
      </c>
      <c r="I417" s="87"/>
      <c r="J417" s="87"/>
      <c r="K417" s="87"/>
      <c r="L417" s="122"/>
      <c r="M417" s="122"/>
      <c r="N417" s="122"/>
      <c r="O417" s="122"/>
      <c r="P417" s="87">
        <v>224829.11</v>
      </c>
      <c r="Q417" s="76"/>
      <c r="R417" s="77"/>
      <c r="S417" s="50"/>
    </row>
    <row r="418" spans="1:19" s="2" customFormat="1" ht="28.5" customHeight="1" x14ac:dyDescent="0.25">
      <c r="A418" s="20"/>
      <c r="B418" s="129"/>
      <c r="C418" s="136" t="s">
        <v>47</v>
      </c>
      <c r="D418" s="99" t="s">
        <v>70</v>
      </c>
      <c r="E418" s="93">
        <v>701.46</v>
      </c>
      <c r="F418" s="94">
        <v>3.37</v>
      </c>
      <c r="G418" s="94">
        <v>2363.9202</v>
      </c>
      <c r="H418" s="94">
        <v>28058.400000000001</v>
      </c>
      <c r="I418" s="94"/>
      <c r="J418" s="94"/>
      <c r="K418" s="94"/>
      <c r="L418" s="129"/>
      <c r="M418" s="129"/>
      <c r="N418" s="129"/>
      <c r="O418" s="129"/>
      <c r="P418" s="94">
        <v>0</v>
      </c>
      <c r="Q418" s="73"/>
      <c r="R418" s="74"/>
      <c r="S418" s="47"/>
    </row>
    <row r="419" spans="1:19" s="2" customFormat="1" ht="38.25" customHeight="1" x14ac:dyDescent="0.25">
      <c r="A419" s="18"/>
      <c r="B419" s="122"/>
      <c r="C419" s="132" t="s">
        <v>47</v>
      </c>
      <c r="D419" s="100" t="s">
        <v>69</v>
      </c>
      <c r="E419" s="89">
        <f>SUM(E417:E418)</f>
        <v>14645.833999999999</v>
      </c>
      <c r="F419" s="89"/>
      <c r="G419" s="87">
        <f t="shared" ref="G419" si="130">SUM(G417:G418)</f>
        <v>48063.127919999999</v>
      </c>
      <c r="H419" s="87">
        <f>SUM(H417:H418)</f>
        <v>361824.08999999997</v>
      </c>
      <c r="I419" s="87"/>
      <c r="J419" s="87"/>
      <c r="K419" s="87"/>
      <c r="L419" s="122"/>
      <c r="M419" s="122"/>
      <c r="N419" s="122"/>
      <c r="O419" s="122"/>
      <c r="P419" s="87">
        <v>224829.11</v>
      </c>
      <c r="Q419" s="76"/>
      <c r="R419" s="77"/>
      <c r="S419" s="50"/>
    </row>
    <row r="420" spans="1:19" s="2" customFormat="1" ht="28.5" customHeight="1" x14ac:dyDescent="0.25">
      <c r="A420" s="20"/>
      <c r="B420" s="129"/>
      <c r="C420" s="131" t="s">
        <v>47</v>
      </c>
      <c r="D420" s="99" t="s">
        <v>71</v>
      </c>
      <c r="E420" s="93">
        <v>940.72</v>
      </c>
      <c r="F420" s="94">
        <v>3.45</v>
      </c>
      <c r="G420" s="94">
        <f>E420*F420</f>
        <v>3245.4840000000004</v>
      </c>
      <c r="H420" s="94">
        <f>E420*45</f>
        <v>42332.4</v>
      </c>
      <c r="I420" s="94"/>
      <c r="J420" s="94"/>
      <c r="K420" s="94"/>
      <c r="L420" s="129"/>
      <c r="M420" s="129"/>
      <c r="N420" s="129"/>
      <c r="O420" s="129"/>
      <c r="P420" s="94">
        <v>0</v>
      </c>
      <c r="Q420" s="73"/>
      <c r="R420" s="74"/>
      <c r="S420" s="47"/>
    </row>
    <row r="421" spans="1:19" s="2" customFormat="1" ht="38.25" customHeight="1" x14ac:dyDescent="0.25">
      <c r="A421" s="18"/>
      <c r="B421" s="122"/>
      <c r="C421" s="132" t="s">
        <v>47</v>
      </c>
      <c r="D421" s="100" t="s">
        <v>72</v>
      </c>
      <c r="E421" s="89">
        <f>SUM(E419:E420)</f>
        <v>15586.553999999998</v>
      </c>
      <c r="F421" s="89"/>
      <c r="G421" s="87">
        <f t="shared" ref="G421:H421" si="131">SUM(G419:G420)</f>
        <v>51308.611919999996</v>
      </c>
      <c r="H421" s="87">
        <f t="shared" si="131"/>
        <v>404156.49</v>
      </c>
      <c r="I421" s="87"/>
      <c r="J421" s="87"/>
      <c r="K421" s="87"/>
      <c r="L421" s="122"/>
      <c r="M421" s="122"/>
      <c r="N421" s="122"/>
      <c r="O421" s="122"/>
      <c r="P421" s="87">
        <v>224829.11</v>
      </c>
      <c r="Q421" s="76"/>
      <c r="R421" s="77"/>
      <c r="S421" s="50"/>
    </row>
    <row r="422" spans="1:19" s="2" customFormat="1" ht="33" customHeight="1" x14ac:dyDescent="0.25">
      <c r="A422" s="20"/>
      <c r="B422" s="129"/>
      <c r="C422" s="131" t="s">
        <v>47</v>
      </c>
      <c r="D422" s="99" t="s">
        <v>73</v>
      </c>
      <c r="E422" s="93">
        <v>1316.32</v>
      </c>
      <c r="F422" s="94">
        <v>3.45</v>
      </c>
      <c r="G422" s="94">
        <f>E422*F422</f>
        <v>4541.3040000000001</v>
      </c>
      <c r="H422" s="94">
        <f>E422*45</f>
        <v>59234.399999999994</v>
      </c>
      <c r="I422" s="94"/>
      <c r="J422" s="94"/>
      <c r="K422" s="94"/>
      <c r="L422" s="129"/>
      <c r="M422" s="129"/>
      <c r="N422" s="129"/>
      <c r="O422" s="129"/>
      <c r="P422" s="94">
        <v>0</v>
      </c>
      <c r="Q422" s="73"/>
      <c r="R422" s="74"/>
      <c r="S422" s="47"/>
    </row>
    <row r="423" spans="1:19" s="2" customFormat="1" ht="43.5" customHeight="1" x14ac:dyDescent="0.25">
      <c r="A423" s="18"/>
      <c r="B423" s="122"/>
      <c r="C423" s="132" t="s">
        <v>47</v>
      </c>
      <c r="D423" s="100" t="s">
        <v>74</v>
      </c>
      <c r="E423" s="89">
        <f>SUM(E421:E422)</f>
        <v>16902.874</v>
      </c>
      <c r="F423" s="89"/>
      <c r="G423" s="87">
        <f t="shared" ref="G423:H423" si="132">SUM(G421:G422)</f>
        <v>55849.915919999999</v>
      </c>
      <c r="H423" s="87">
        <f t="shared" si="132"/>
        <v>463390.89</v>
      </c>
      <c r="I423" s="87"/>
      <c r="J423" s="87"/>
      <c r="K423" s="87"/>
      <c r="L423" s="122"/>
      <c r="M423" s="122"/>
      <c r="N423" s="122"/>
      <c r="O423" s="122"/>
      <c r="P423" s="87">
        <v>224829.11</v>
      </c>
      <c r="Q423" s="76"/>
      <c r="R423" s="77"/>
      <c r="S423" s="50"/>
    </row>
    <row r="424" spans="1:19" s="2" customFormat="1" ht="28.5" customHeight="1" x14ac:dyDescent="0.25">
      <c r="A424" s="20"/>
      <c r="B424" s="129"/>
      <c r="C424" s="131" t="s">
        <v>47</v>
      </c>
      <c r="D424" s="99" t="s">
        <v>76</v>
      </c>
      <c r="E424" s="93">
        <v>1068.56</v>
      </c>
      <c r="F424" s="94">
        <v>3.45</v>
      </c>
      <c r="G424" s="94">
        <f>E424*F424</f>
        <v>3686.5320000000002</v>
      </c>
      <c r="H424" s="94">
        <f>E424*45</f>
        <v>48085.2</v>
      </c>
      <c r="I424" s="94"/>
      <c r="J424" s="94"/>
      <c r="K424" s="94"/>
      <c r="L424" s="129"/>
      <c r="M424" s="129"/>
      <c r="N424" s="129"/>
      <c r="O424" s="129"/>
      <c r="P424" s="94">
        <v>0</v>
      </c>
      <c r="Q424" s="73"/>
      <c r="R424" s="74"/>
      <c r="S424" s="47"/>
    </row>
    <row r="425" spans="1:19" s="2" customFormat="1" ht="43.5" customHeight="1" x14ac:dyDescent="0.25">
      <c r="A425" s="18"/>
      <c r="B425" s="122"/>
      <c r="C425" s="132" t="s">
        <v>47</v>
      </c>
      <c r="D425" s="100" t="s">
        <v>77</v>
      </c>
      <c r="E425" s="89">
        <f>SUM(E423:E424)</f>
        <v>17971.434000000001</v>
      </c>
      <c r="F425" s="89"/>
      <c r="G425" s="87">
        <f t="shared" ref="G425:H425" si="133">SUM(G423:G424)</f>
        <v>59536.447919999999</v>
      </c>
      <c r="H425" s="87">
        <f t="shared" si="133"/>
        <v>511476.09</v>
      </c>
      <c r="I425" s="87"/>
      <c r="J425" s="87"/>
      <c r="K425" s="87"/>
      <c r="L425" s="122"/>
      <c r="M425" s="122"/>
      <c r="N425" s="122"/>
      <c r="O425" s="122"/>
      <c r="P425" s="87">
        <v>224829.11</v>
      </c>
      <c r="Q425" s="76"/>
      <c r="R425" s="77"/>
      <c r="S425" s="50"/>
    </row>
    <row r="426" spans="1:19" s="2" customFormat="1" ht="27.75" customHeight="1" x14ac:dyDescent="0.25">
      <c r="A426" s="20"/>
      <c r="B426" s="129"/>
      <c r="C426" s="131" t="s">
        <v>47</v>
      </c>
      <c r="D426" s="99" t="s">
        <v>78</v>
      </c>
      <c r="E426" s="93">
        <v>353.24</v>
      </c>
      <c r="F426" s="94">
        <v>3.45</v>
      </c>
      <c r="G426" s="94">
        <f>E426*F426</f>
        <v>1218.6780000000001</v>
      </c>
      <c r="H426" s="94">
        <f>E426*45</f>
        <v>15895.800000000001</v>
      </c>
      <c r="I426" s="94"/>
      <c r="J426" s="94"/>
      <c r="K426" s="94"/>
      <c r="L426" s="129"/>
      <c r="M426" s="129"/>
      <c r="N426" s="129"/>
      <c r="O426" s="129"/>
      <c r="P426" s="94">
        <v>61660.01</v>
      </c>
      <c r="Q426" s="73"/>
      <c r="R426" s="74"/>
      <c r="S426" s="47"/>
    </row>
    <row r="427" spans="1:19" s="2" customFormat="1" ht="43.5" customHeight="1" x14ac:dyDescent="0.25">
      <c r="A427" s="18"/>
      <c r="B427" s="122"/>
      <c r="C427" s="132" t="s">
        <v>47</v>
      </c>
      <c r="D427" s="100" t="s">
        <v>79</v>
      </c>
      <c r="E427" s="89">
        <f>SUM(E425:E426)</f>
        <v>18324.674000000003</v>
      </c>
      <c r="F427" s="89"/>
      <c r="G427" s="87">
        <f t="shared" ref="G427:H427" si="134">SUM(G425:G426)</f>
        <v>60755.125919999999</v>
      </c>
      <c r="H427" s="87">
        <f t="shared" si="134"/>
        <v>527371.89</v>
      </c>
      <c r="I427" s="87"/>
      <c r="J427" s="87"/>
      <c r="K427" s="87"/>
      <c r="L427" s="122"/>
      <c r="M427" s="122"/>
      <c r="N427" s="122"/>
      <c r="O427" s="122"/>
      <c r="P427" s="87">
        <f>P425+P426</f>
        <v>286489.12</v>
      </c>
      <c r="Q427" s="76"/>
      <c r="R427" s="77"/>
      <c r="S427" s="50"/>
    </row>
    <row r="428" spans="1:19" s="2" customFormat="1" ht="28.5" customHeight="1" x14ac:dyDescent="0.25">
      <c r="A428" s="20"/>
      <c r="B428" s="129"/>
      <c r="C428" s="131" t="s">
        <v>47</v>
      </c>
      <c r="D428" s="99" t="s">
        <v>82</v>
      </c>
      <c r="E428" s="93">
        <v>212.16</v>
      </c>
      <c r="F428" s="94">
        <v>3.45</v>
      </c>
      <c r="G428" s="94">
        <f>E428*F428</f>
        <v>731.952</v>
      </c>
      <c r="H428" s="94">
        <f>E428*57</f>
        <v>12093.119999999999</v>
      </c>
      <c r="I428" s="94"/>
      <c r="J428" s="94"/>
      <c r="K428" s="94"/>
      <c r="L428" s="129"/>
      <c r="M428" s="129"/>
      <c r="N428" s="129"/>
      <c r="O428" s="129"/>
      <c r="P428" s="94">
        <v>231466.97</v>
      </c>
      <c r="Q428" s="73"/>
      <c r="R428" s="74"/>
      <c r="S428" s="47"/>
    </row>
    <row r="429" spans="1:19" s="2" customFormat="1" ht="43.5" customHeight="1" x14ac:dyDescent="0.25">
      <c r="A429" s="18"/>
      <c r="B429" s="122"/>
      <c r="C429" s="132" t="s">
        <v>47</v>
      </c>
      <c r="D429" s="100" t="s">
        <v>81</v>
      </c>
      <c r="E429" s="89">
        <f>SUM(E427:E428)</f>
        <v>18536.834000000003</v>
      </c>
      <c r="F429" s="89"/>
      <c r="G429" s="87">
        <f t="shared" ref="G429:P429" si="135">SUM(G427:G428)</f>
        <v>61487.077919999996</v>
      </c>
      <c r="H429" s="87">
        <f t="shared" si="135"/>
        <v>539465.01</v>
      </c>
      <c r="I429" s="87"/>
      <c r="J429" s="87"/>
      <c r="K429" s="87"/>
      <c r="L429" s="87"/>
      <c r="M429" s="87"/>
      <c r="N429" s="87"/>
      <c r="O429" s="87"/>
      <c r="P429" s="87">
        <f t="shared" si="135"/>
        <v>517956.08999999997</v>
      </c>
      <c r="Q429" s="76"/>
      <c r="R429" s="77"/>
      <c r="S429" s="50"/>
    </row>
    <row r="430" spans="1:19" s="2" customFormat="1" ht="26.25" customHeight="1" x14ac:dyDescent="0.25">
      <c r="A430" s="20"/>
      <c r="B430" s="129"/>
      <c r="C430" s="131" t="s">
        <v>47</v>
      </c>
      <c r="D430" s="99" t="s">
        <v>84</v>
      </c>
      <c r="E430" s="93">
        <v>789.56</v>
      </c>
      <c r="F430" s="94">
        <v>3.45</v>
      </c>
      <c r="G430" s="94">
        <f>E430*F430</f>
        <v>2723.982</v>
      </c>
      <c r="H430" s="94">
        <f>E430*57</f>
        <v>45004.92</v>
      </c>
      <c r="I430" s="94"/>
      <c r="J430" s="94"/>
      <c r="K430" s="94"/>
      <c r="L430" s="94"/>
      <c r="M430" s="94"/>
      <c r="N430" s="94"/>
      <c r="O430" s="94"/>
      <c r="P430" s="94">
        <v>0</v>
      </c>
      <c r="Q430" s="73"/>
      <c r="R430" s="74"/>
      <c r="S430" s="47"/>
    </row>
    <row r="431" spans="1:19" s="2" customFormat="1" ht="43.5" customHeight="1" x14ac:dyDescent="0.25">
      <c r="A431" s="18"/>
      <c r="B431" s="122"/>
      <c r="C431" s="132" t="s">
        <v>47</v>
      </c>
      <c r="D431" s="100" t="s">
        <v>86</v>
      </c>
      <c r="E431" s="89">
        <f>SUM(E429:E430)</f>
        <v>19326.394000000004</v>
      </c>
      <c r="F431" s="89"/>
      <c r="G431" s="87">
        <f t="shared" ref="G431:P431" si="136">SUM(G429:G430)</f>
        <v>64211.05992</v>
      </c>
      <c r="H431" s="87">
        <f t="shared" si="136"/>
        <v>584469.93000000005</v>
      </c>
      <c r="I431" s="87"/>
      <c r="J431" s="87"/>
      <c r="K431" s="87"/>
      <c r="L431" s="87"/>
      <c r="M431" s="87"/>
      <c r="N431" s="87"/>
      <c r="O431" s="87"/>
      <c r="P431" s="87">
        <f t="shared" si="136"/>
        <v>517956.08999999997</v>
      </c>
      <c r="Q431" s="76"/>
      <c r="R431" s="77"/>
      <c r="S431" s="50"/>
    </row>
    <row r="432" spans="1:19" s="2" customFormat="1" ht="30.75" customHeight="1" x14ac:dyDescent="0.25">
      <c r="A432" s="20"/>
      <c r="B432" s="129"/>
      <c r="C432" s="131" t="s">
        <v>47</v>
      </c>
      <c r="D432" s="99" t="s">
        <v>89</v>
      </c>
      <c r="E432" s="93">
        <v>1452.34</v>
      </c>
      <c r="F432" s="94">
        <v>3.45</v>
      </c>
      <c r="G432" s="94">
        <f>E432*F432</f>
        <v>5010.5730000000003</v>
      </c>
      <c r="H432" s="94">
        <f>E432*57</f>
        <v>82783.37999999999</v>
      </c>
      <c r="I432" s="94"/>
      <c r="J432" s="94"/>
      <c r="K432" s="94"/>
      <c r="L432" s="94"/>
      <c r="M432" s="94"/>
      <c r="N432" s="94"/>
      <c r="O432" s="94"/>
      <c r="P432" s="94">
        <v>0</v>
      </c>
      <c r="Q432" s="73"/>
      <c r="R432" s="74"/>
      <c r="S432" s="47"/>
    </row>
    <row r="433" spans="1:19" s="2" customFormat="1" ht="43.5" customHeight="1" x14ac:dyDescent="0.25">
      <c r="A433" s="18"/>
      <c r="B433" s="122"/>
      <c r="C433" s="132" t="s">
        <v>47</v>
      </c>
      <c r="D433" s="100" t="s">
        <v>90</v>
      </c>
      <c r="E433" s="89">
        <f>SUM(E431:E432)</f>
        <v>20778.734000000004</v>
      </c>
      <c r="F433" s="89"/>
      <c r="G433" s="87">
        <f t="shared" ref="G433:P433" si="137">SUM(G431:G432)</f>
        <v>69221.632920000004</v>
      </c>
      <c r="H433" s="87">
        <f t="shared" si="137"/>
        <v>667253.31000000006</v>
      </c>
      <c r="I433" s="87"/>
      <c r="J433" s="87"/>
      <c r="K433" s="87"/>
      <c r="L433" s="87"/>
      <c r="M433" s="87"/>
      <c r="N433" s="87"/>
      <c r="O433" s="87"/>
      <c r="P433" s="87">
        <f t="shared" si="137"/>
        <v>517956.08999999997</v>
      </c>
      <c r="Q433" s="76"/>
      <c r="R433" s="77"/>
      <c r="S433" s="50"/>
    </row>
    <row r="434" spans="1:19" s="2" customFormat="1" ht="28.5" customHeight="1" x14ac:dyDescent="0.25">
      <c r="A434" s="20"/>
      <c r="B434" s="129"/>
      <c r="C434" s="131" t="s">
        <v>47</v>
      </c>
      <c r="D434" s="99" t="s">
        <v>93</v>
      </c>
      <c r="E434" s="93">
        <v>1201.4000000000001</v>
      </c>
      <c r="F434" s="94">
        <v>3.45</v>
      </c>
      <c r="G434" s="94">
        <f>E434*F434</f>
        <v>4144.8300000000008</v>
      </c>
      <c r="H434" s="94">
        <f>E434*57</f>
        <v>68479.8</v>
      </c>
      <c r="I434" s="94"/>
      <c r="J434" s="94"/>
      <c r="K434" s="94"/>
      <c r="L434" s="94"/>
      <c r="M434" s="94"/>
      <c r="N434" s="94"/>
      <c r="O434" s="94"/>
      <c r="P434" s="94">
        <v>0</v>
      </c>
      <c r="Q434" s="73"/>
      <c r="R434" s="74"/>
      <c r="S434" s="47"/>
    </row>
    <row r="435" spans="1:19" s="2" customFormat="1" ht="42" customHeight="1" x14ac:dyDescent="0.25">
      <c r="A435" s="18"/>
      <c r="B435" s="122"/>
      <c r="C435" s="132" t="s">
        <v>47</v>
      </c>
      <c r="D435" s="100" t="s">
        <v>94</v>
      </c>
      <c r="E435" s="89">
        <f>SUM(E433:E434)</f>
        <v>21980.134000000005</v>
      </c>
      <c r="F435" s="89"/>
      <c r="G435" s="87">
        <f t="shared" ref="G435:H435" si="138">SUM(G433:G434)</f>
        <v>73366.462920000005</v>
      </c>
      <c r="H435" s="87">
        <f t="shared" si="138"/>
        <v>735733.1100000001</v>
      </c>
      <c r="I435" s="87"/>
      <c r="J435" s="87"/>
      <c r="K435" s="87"/>
      <c r="L435" s="87"/>
      <c r="M435" s="87"/>
      <c r="N435" s="87"/>
      <c r="O435" s="87"/>
      <c r="P435" s="87">
        <v>517956.09</v>
      </c>
      <c r="Q435" s="76"/>
      <c r="R435" s="77"/>
      <c r="S435" s="50"/>
    </row>
    <row r="436" spans="1:19" s="2" customFormat="1" ht="95.25" customHeight="1" x14ac:dyDescent="0.25">
      <c r="A436" s="20"/>
      <c r="B436" s="129"/>
      <c r="C436" s="131" t="s">
        <v>47</v>
      </c>
      <c r="D436" s="99" t="s">
        <v>96</v>
      </c>
      <c r="E436" s="93">
        <v>1012.64</v>
      </c>
      <c r="F436" s="94">
        <v>5.6</v>
      </c>
      <c r="G436" s="94">
        <f>E436*F436</f>
        <v>5670.7839999999997</v>
      </c>
      <c r="H436" s="94">
        <v>92967.44</v>
      </c>
      <c r="I436" s="94"/>
      <c r="J436" s="94"/>
      <c r="K436" s="94"/>
      <c r="L436" s="94"/>
      <c r="M436" s="94"/>
      <c r="N436" s="94"/>
      <c r="O436" s="94"/>
      <c r="P436" s="220" t="s">
        <v>114</v>
      </c>
      <c r="Q436" s="73"/>
      <c r="R436" s="74"/>
      <c r="S436" s="217" t="s">
        <v>102</v>
      </c>
    </row>
    <row r="437" spans="1:19" s="2" customFormat="1" ht="38.25" customHeight="1" x14ac:dyDescent="0.25">
      <c r="A437" s="18"/>
      <c r="B437" s="122"/>
      <c r="C437" s="132" t="s">
        <v>47</v>
      </c>
      <c r="D437" s="100" t="s">
        <v>97</v>
      </c>
      <c r="E437" s="89">
        <f>SUM(E435:E436)</f>
        <v>22992.774000000005</v>
      </c>
      <c r="F437" s="89"/>
      <c r="G437" s="87">
        <f t="shared" ref="G437:H437" si="139">SUM(G435:G436)</f>
        <v>79037.246920000005</v>
      </c>
      <c r="H437" s="87">
        <f t="shared" si="139"/>
        <v>828700.55</v>
      </c>
      <c r="I437" s="87"/>
      <c r="J437" s="87"/>
      <c r="K437" s="87"/>
      <c r="L437" s="87"/>
      <c r="M437" s="87"/>
      <c r="N437" s="87"/>
      <c r="O437" s="87"/>
      <c r="P437" s="221" t="s">
        <v>115</v>
      </c>
      <c r="Q437" s="76"/>
      <c r="R437" s="77"/>
      <c r="S437" s="50"/>
    </row>
    <row r="438" spans="1:19" s="2" customFormat="1" ht="38.25" customHeight="1" x14ac:dyDescent="0.25">
      <c r="A438" s="20"/>
      <c r="B438" s="129"/>
      <c r="C438" s="131" t="s">
        <v>47</v>
      </c>
      <c r="D438" s="99" t="s">
        <v>119</v>
      </c>
      <c r="E438" s="93">
        <v>1156.43</v>
      </c>
      <c r="F438" s="94">
        <v>5.6</v>
      </c>
      <c r="G438" s="94">
        <f>E438*F438</f>
        <v>6476.0079999999998</v>
      </c>
      <c r="H438" s="94">
        <f>E438*69</f>
        <v>79793.67</v>
      </c>
      <c r="I438" s="94"/>
      <c r="J438" s="94"/>
      <c r="K438" s="94"/>
      <c r="L438" s="94"/>
      <c r="M438" s="94"/>
      <c r="N438" s="94"/>
      <c r="O438" s="94"/>
      <c r="P438" s="220" t="s">
        <v>124</v>
      </c>
      <c r="Q438" s="73"/>
      <c r="R438" s="74"/>
      <c r="S438" s="47"/>
    </row>
    <row r="439" spans="1:19" s="2" customFormat="1" ht="38.25" customHeight="1" x14ac:dyDescent="0.25">
      <c r="A439" s="18"/>
      <c r="B439" s="122"/>
      <c r="C439" s="132" t="s">
        <v>47</v>
      </c>
      <c r="D439" s="100" t="s">
        <v>120</v>
      </c>
      <c r="E439" s="89">
        <f>SUM(E437:E438)</f>
        <v>24149.204000000005</v>
      </c>
      <c r="F439" s="89"/>
      <c r="G439" s="87">
        <f t="shared" ref="G439:H439" si="140">SUM(G437:G438)</f>
        <v>85513.254920000007</v>
      </c>
      <c r="H439" s="87">
        <f t="shared" si="140"/>
        <v>908494.22000000009</v>
      </c>
      <c r="I439" s="87"/>
      <c r="J439" s="87"/>
      <c r="K439" s="87"/>
      <c r="L439" s="87"/>
      <c r="M439" s="87"/>
      <c r="N439" s="87"/>
      <c r="O439" s="87"/>
      <c r="P439" s="221" t="s">
        <v>151</v>
      </c>
      <c r="Q439" s="76"/>
      <c r="R439" s="77"/>
      <c r="S439" s="50"/>
    </row>
    <row r="440" spans="1:19" s="2" customFormat="1" ht="38.25" customHeight="1" x14ac:dyDescent="0.25">
      <c r="A440" s="20"/>
      <c r="B440" s="129"/>
      <c r="C440" s="131" t="s">
        <v>47</v>
      </c>
      <c r="D440" s="99" t="s">
        <v>139</v>
      </c>
      <c r="E440" s="93">
        <v>1354.34</v>
      </c>
      <c r="F440" s="94">
        <v>5.6</v>
      </c>
      <c r="G440" s="94">
        <f>SUM(E440*F440)</f>
        <v>7584.3039999999992</v>
      </c>
      <c r="H440" s="94">
        <f>SUM(E440*69)</f>
        <v>93449.459999999992</v>
      </c>
      <c r="I440" s="94"/>
      <c r="J440" s="94"/>
      <c r="K440" s="94"/>
      <c r="L440" s="94"/>
      <c r="M440" s="94"/>
      <c r="N440" s="94"/>
      <c r="O440" s="94"/>
      <c r="P440" s="220" t="s">
        <v>159</v>
      </c>
      <c r="Q440" s="73"/>
      <c r="R440" s="74"/>
      <c r="S440" s="47"/>
    </row>
    <row r="441" spans="1:19" s="2" customFormat="1" ht="38.25" customHeight="1" x14ac:dyDescent="0.25">
      <c r="A441" s="18"/>
      <c r="B441" s="122"/>
      <c r="C441" s="132" t="s">
        <v>47</v>
      </c>
      <c r="D441" s="100" t="s">
        <v>140</v>
      </c>
      <c r="E441" s="89">
        <f>SUM(E439:E440)</f>
        <v>25503.544000000005</v>
      </c>
      <c r="F441" s="89"/>
      <c r="G441" s="87">
        <f t="shared" ref="G441:H441" si="141">SUM(G439:G440)</f>
        <v>93097.55892000001</v>
      </c>
      <c r="H441" s="87">
        <f t="shared" si="141"/>
        <v>1001943.68</v>
      </c>
      <c r="I441" s="87"/>
      <c r="J441" s="87"/>
      <c r="K441" s="87"/>
      <c r="L441" s="87"/>
      <c r="M441" s="87"/>
      <c r="N441" s="87"/>
      <c r="O441" s="87"/>
      <c r="P441" s="221" t="s">
        <v>150</v>
      </c>
      <c r="Q441" s="76"/>
      <c r="R441" s="77"/>
      <c r="S441" s="50"/>
    </row>
    <row r="442" spans="1:19" s="2" customFormat="1" ht="38.25" customHeight="1" x14ac:dyDescent="0.25">
      <c r="A442" s="20"/>
      <c r="B442" s="129"/>
      <c r="C442" s="131" t="s">
        <v>47</v>
      </c>
      <c r="D442" s="99" t="s">
        <v>144</v>
      </c>
      <c r="E442" s="93">
        <v>1194.48</v>
      </c>
      <c r="F442" s="94">
        <v>5.6</v>
      </c>
      <c r="G442" s="94">
        <f>E442*F442</f>
        <v>6689.0879999999997</v>
      </c>
      <c r="H442" s="94">
        <f>SUM(E442*69)</f>
        <v>82419.12</v>
      </c>
      <c r="I442" s="180"/>
      <c r="K442" s="94"/>
      <c r="L442" s="94"/>
      <c r="M442" s="94"/>
      <c r="N442" s="94"/>
      <c r="O442" s="94"/>
      <c r="P442" s="220" t="s">
        <v>152</v>
      </c>
      <c r="Q442" s="73"/>
      <c r="R442" s="74"/>
      <c r="S442" s="47"/>
    </row>
    <row r="443" spans="1:19" s="2" customFormat="1" ht="38.25" customHeight="1" x14ac:dyDescent="0.25">
      <c r="A443" s="18"/>
      <c r="B443" s="122"/>
      <c r="C443" s="132" t="s">
        <v>47</v>
      </c>
      <c r="D443" s="100" t="s">
        <v>145</v>
      </c>
      <c r="E443" s="89">
        <f>SUM(E441:E442)</f>
        <v>26698.024000000005</v>
      </c>
      <c r="F443" s="89"/>
      <c r="G443" s="87">
        <f>SUM(G441:G442)</f>
        <v>99786.646920000014</v>
      </c>
      <c r="H443" s="87">
        <f>SUM(H441:H442)</f>
        <v>1084362.8</v>
      </c>
      <c r="I443" s="87"/>
      <c r="J443" s="87"/>
      <c r="K443" s="87"/>
      <c r="L443" s="87"/>
      <c r="M443" s="87"/>
      <c r="N443" s="87"/>
      <c r="O443" s="87"/>
      <c r="P443" s="221" t="s">
        <v>153</v>
      </c>
      <c r="Q443" s="76"/>
      <c r="R443" s="77"/>
      <c r="S443" s="50"/>
    </row>
    <row r="444" spans="1:19" s="2" customFormat="1" ht="38.25" customHeight="1" x14ac:dyDescent="0.25">
      <c r="A444" s="20"/>
      <c r="B444" s="129"/>
      <c r="C444" s="131" t="s">
        <v>47</v>
      </c>
      <c r="D444" s="99" t="s">
        <v>165</v>
      </c>
      <c r="E444" s="93">
        <v>1127.06</v>
      </c>
      <c r="F444" s="94">
        <v>5.6</v>
      </c>
      <c r="G444" s="94">
        <f>E444*F444</f>
        <v>6311.5359999999991</v>
      </c>
      <c r="H444" s="94">
        <f>E444*82</f>
        <v>92418.92</v>
      </c>
      <c r="I444" s="94"/>
      <c r="J444" s="94"/>
      <c r="K444" s="94"/>
      <c r="L444" s="94"/>
      <c r="M444" s="94"/>
      <c r="N444" s="94"/>
      <c r="O444" s="94"/>
      <c r="P444" s="220" t="s">
        <v>180</v>
      </c>
      <c r="Q444" s="73"/>
      <c r="R444" s="74"/>
      <c r="S444" s="47"/>
    </row>
    <row r="445" spans="1:19" s="2" customFormat="1" ht="38.25" customHeight="1" x14ac:dyDescent="0.25">
      <c r="A445" s="18"/>
      <c r="B445" s="122"/>
      <c r="C445" s="132" t="s">
        <v>47</v>
      </c>
      <c r="D445" s="100" t="s">
        <v>167</v>
      </c>
      <c r="E445" s="89">
        <f>SUM(E443:E444)</f>
        <v>27825.084000000006</v>
      </c>
      <c r="F445" s="89"/>
      <c r="G445" s="87">
        <f t="shared" ref="G445:H445" si="142">SUM(G443:G444)</f>
        <v>106098.18292000001</v>
      </c>
      <c r="H445" s="87">
        <f t="shared" si="142"/>
        <v>1176781.72</v>
      </c>
      <c r="I445" s="87"/>
      <c r="J445" s="87"/>
      <c r="K445" s="87"/>
      <c r="L445" s="87"/>
      <c r="M445" s="87"/>
      <c r="N445" s="87"/>
      <c r="O445" s="87"/>
      <c r="P445" s="221" t="s">
        <v>181</v>
      </c>
      <c r="Q445" s="76"/>
      <c r="R445" s="77"/>
      <c r="S445" s="50"/>
    </row>
    <row r="446" spans="1:19" s="2" customFormat="1" ht="38.25" customHeight="1" x14ac:dyDescent="0.25">
      <c r="A446" s="20"/>
      <c r="B446" s="129"/>
      <c r="C446" s="131" t="s">
        <v>47</v>
      </c>
      <c r="D446" s="99" t="s">
        <v>166</v>
      </c>
      <c r="E446" s="93">
        <v>1391.97</v>
      </c>
      <c r="F446" s="94">
        <v>5.6</v>
      </c>
      <c r="G446" s="94">
        <f>458.94*5.6</f>
        <v>2570.0639999999999</v>
      </c>
      <c r="H446" s="94">
        <f>458.94*82</f>
        <v>37633.08</v>
      </c>
      <c r="I446" s="94">
        <f>933.03*5.6</f>
        <v>5224.9679999999998</v>
      </c>
      <c r="J446" s="94">
        <f>933.03*82</f>
        <v>76508.459999999992</v>
      </c>
      <c r="K446" s="94"/>
      <c r="L446" s="94"/>
      <c r="M446" s="94"/>
      <c r="N446" s="94"/>
      <c r="O446" s="94"/>
      <c r="P446" s="220" t="s">
        <v>189</v>
      </c>
      <c r="Q446" s="73"/>
      <c r="R446" s="74"/>
      <c r="S446" s="47"/>
    </row>
    <row r="447" spans="1:19" s="2" customFormat="1" ht="38.25" customHeight="1" x14ac:dyDescent="0.25">
      <c r="A447" s="18"/>
      <c r="B447" s="122"/>
      <c r="C447" s="132" t="s">
        <v>47</v>
      </c>
      <c r="D447" s="100" t="s">
        <v>168</v>
      </c>
      <c r="E447" s="89">
        <f>SUM(E445:E446)</f>
        <v>29217.054000000007</v>
      </c>
      <c r="F447" s="89"/>
      <c r="G447" s="87">
        <f t="shared" ref="G447:J447" si="143">SUM(G445:G446)</f>
        <v>108668.24692000001</v>
      </c>
      <c r="H447" s="87">
        <f t="shared" si="143"/>
        <v>1214414.8</v>
      </c>
      <c r="I447" s="87">
        <f t="shared" si="143"/>
        <v>5224.9679999999998</v>
      </c>
      <c r="J447" s="87">
        <f t="shared" si="143"/>
        <v>76508.459999999992</v>
      </c>
      <c r="K447" s="87"/>
      <c r="L447" s="87"/>
      <c r="M447" s="87"/>
      <c r="N447" s="87"/>
      <c r="O447" s="87"/>
      <c r="P447" s="221" t="s">
        <v>190</v>
      </c>
      <c r="Q447" s="76"/>
      <c r="R447" s="77"/>
      <c r="S447" s="50"/>
    </row>
    <row r="448" spans="1:19" s="236" customFormat="1" ht="38.25" customHeight="1" x14ac:dyDescent="0.25">
      <c r="A448" s="230"/>
      <c r="B448" s="237"/>
      <c r="C448" s="131" t="s">
        <v>47</v>
      </c>
      <c r="D448" s="99" t="s">
        <v>195</v>
      </c>
      <c r="E448" s="231">
        <v>1490.38</v>
      </c>
      <c r="F448" s="94">
        <v>5.6</v>
      </c>
      <c r="G448" s="94">
        <f>933.03*5.6</f>
        <v>5224.9679999999998</v>
      </c>
      <c r="H448" s="94">
        <f>933.03*82</f>
        <v>76508.459999999992</v>
      </c>
      <c r="I448" s="232">
        <f>E448*5.6</f>
        <v>8346.1280000000006</v>
      </c>
      <c r="J448" s="232">
        <f>E448*82</f>
        <v>122211.16</v>
      </c>
      <c r="K448" s="232"/>
      <c r="L448" s="232"/>
      <c r="M448" s="232"/>
      <c r="N448" s="232"/>
      <c r="O448" s="232"/>
      <c r="P448" s="233">
        <v>0</v>
      </c>
      <c r="Q448" s="247"/>
      <c r="R448" s="248"/>
      <c r="S448" s="235"/>
    </row>
    <row r="449" spans="1:19" s="2" customFormat="1" ht="38.25" customHeight="1" x14ac:dyDescent="0.25">
      <c r="A449" s="18"/>
      <c r="B449" s="122"/>
      <c r="C449" s="132" t="s">
        <v>47</v>
      </c>
      <c r="D449" s="100" t="s">
        <v>196</v>
      </c>
      <c r="E449" s="89">
        <f>SUM(E447:E448)</f>
        <v>30707.434000000008</v>
      </c>
      <c r="F449" s="89"/>
      <c r="G449" s="87">
        <f>SUM(G447:G448)</f>
        <v>113893.21492</v>
      </c>
      <c r="H449" s="87">
        <f>SUM(H447:H448)</f>
        <v>1290923.26</v>
      </c>
      <c r="I449" s="87">
        <v>8346.1299999999992</v>
      </c>
      <c r="J449" s="87">
        <v>122211.16</v>
      </c>
      <c r="K449" s="87"/>
      <c r="L449" s="87"/>
      <c r="M449" s="87"/>
      <c r="N449" s="87"/>
      <c r="O449" s="87"/>
      <c r="P449" s="221" t="s">
        <v>190</v>
      </c>
      <c r="Q449" s="76"/>
      <c r="R449" s="77"/>
      <c r="S449" s="50"/>
    </row>
    <row r="450" spans="1:19" s="236" customFormat="1" ht="38.25" customHeight="1" x14ac:dyDescent="0.25">
      <c r="A450" s="230"/>
      <c r="B450" s="237"/>
      <c r="C450" s="131" t="s">
        <v>47</v>
      </c>
      <c r="D450" s="99" t="s">
        <v>201</v>
      </c>
      <c r="E450" s="231">
        <v>1353.9780000000001</v>
      </c>
      <c r="F450" s="94">
        <v>5.6</v>
      </c>
      <c r="G450" s="232">
        <f>1967.64*5.6</f>
        <v>11018.784</v>
      </c>
      <c r="H450" s="232">
        <f>1967.64*82</f>
        <v>161346.48000000001</v>
      </c>
      <c r="I450" s="232">
        <f>876.718*5.6</f>
        <v>4909.6207999999997</v>
      </c>
      <c r="J450" s="232">
        <f>876.718*82</f>
        <v>71890.876000000004</v>
      </c>
      <c r="K450" s="232"/>
      <c r="L450" s="232"/>
      <c r="M450" s="232"/>
      <c r="N450" s="232"/>
      <c r="O450" s="232"/>
      <c r="P450" s="233">
        <v>0</v>
      </c>
      <c r="Q450" s="247"/>
      <c r="R450" s="248"/>
      <c r="S450" s="235"/>
    </row>
    <row r="451" spans="1:19" s="2" customFormat="1" ht="38.25" customHeight="1" x14ac:dyDescent="0.25">
      <c r="A451" s="18"/>
      <c r="B451" s="122"/>
      <c r="C451" s="132" t="s">
        <v>47</v>
      </c>
      <c r="D451" s="100" t="s">
        <v>202</v>
      </c>
      <c r="E451" s="89">
        <f>SUM(E449:E450)</f>
        <v>32061.412000000008</v>
      </c>
      <c r="F451" s="89"/>
      <c r="G451" s="87">
        <f>SUM(G449:G450)</f>
        <v>124911.99892</v>
      </c>
      <c r="H451" s="87">
        <f>SUM(H449:H450)</f>
        <v>1452269.74</v>
      </c>
      <c r="I451" s="87">
        <v>4909.62</v>
      </c>
      <c r="J451" s="87">
        <v>71890.880000000005</v>
      </c>
      <c r="K451" s="87"/>
      <c r="L451" s="87"/>
      <c r="M451" s="87"/>
      <c r="N451" s="87"/>
      <c r="O451" s="87"/>
      <c r="P451" s="221" t="s">
        <v>190</v>
      </c>
      <c r="Q451" s="76"/>
      <c r="R451" s="77"/>
      <c r="S451" s="50"/>
    </row>
    <row r="452" spans="1:19" s="236" customFormat="1" ht="38.25" customHeight="1" x14ac:dyDescent="0.25">
      <c r="A452" s="230"/>
      <c r="B452" s="237"/>
      <c r="C452" s="131" t="s">
        <v>47</v>
      </c>
      <c r="D452" s="99" t="s">
        <v>208</v>
      </c>
      <c r="E452" s="231">
        <v>1162.8800000000001</v>
      </c>
      <c r="F452" s="94">
        <v>5.6</v>
      </c>
      <c r="G452" s="232"/>
      <c r="H452" s="232"/>
      <c r="I452" s="232">
        <f>1162.88*5.6</f>
        <v>6512.1280000000006</v>
      </c>
      <c r="J452" s="232">
        <f>1162.88*95</f>
        <v>110473.60000000001</v>
      </c>
      <c r="K452" s="232"/>
      <c r="L452" s="232"/>
      <c r="M452" s="232"/>
      <c r="N452" s="232"/>
      <c r="O452" s="232"/>
      <c r="P452" s="233"/>
      <c r="Q452" s="247"/>
      <c r="R452" s="248"/>
      <c r="S452" s="235"/>
    </row>
    <row r="453" spans="1:19" s="2" customFormat="1" ht="38.25" customHeight="1" x14ac:dyDescent="0.25">
      <c r="A453" s="18"/>
      <c r="B453" s="122"/>
      <c r="C453" s="132" t="s">
        <v>47</v>
      </c>
      <c r="D453" s="100" t="s">
        <v>209</v>
      </c>
      <c r="E453" s="89">
        <f>SUM(E451:E452)</f>
        <v>33224.292000000009</v>
      </c>
      <c r="F453" s="89"/>
      <c r="G453" s="87">
        <f>SUM(G451:G452)</f>
        <v>124911.99892</v>
      </c>
      <c r="H453" s="87">
        <f>SUM(H451:H452)</f>
        <v>1452269.74</v>
      </c>
      <c r="I453" s="87">
        <f>SUM(I451:I452)</f>
        <v>11421.748</v>
      </c>
      <c r="J453" s="87">
        <f>SUM(J451:J452)</f>
        <v>182364.48</v>
      </c>
      <c r="K453" s="87"/>
      <c r="L453" s="87"/>
      <c r="M453" s="87"/>
      <c r="N453" s="87"/>
      <c r="O453" s="87"/>
      <c r="P453" s="221" t="s">
        <v>190</v>
      </c>
      <c r="Q453" s="76"/>
      <c r="R453" s="77"/>
      <c r="S453" s="50"/>
    </row>
    <row r="454" spans="1:19" s="236" customFormat="1" ht="38.25" customHeight="1" x14ac:dyDescent="0.25">
      <c r="A454" s="230"/>
      <c r="B454" s="237"/>
      <c r="C454" s="131" t="s">
        <v>47</v>
      </c>
      <c r="D454" s="99" t="s">
        <v>216</v>
      </c>
      <c r="E454" s="231">
        <v>1451.35</v>
      </c>
      <c r="F454" s="231"/>
      <c r="G454" s="232">
        <f>1586.418*5.6</f>
        <v>8883.9407999999985</v>
      </c>
      <c r="H454" s="232">
        <f>71890.88+709.7*95</f>
        <v>139312.38</v>
      </c>
      <c r="I454" s="232">
        <f>1904.53*5.6</f>
        <v>10665.367999999999</v>
      </c>
      <c r="J454" s="232">
        <f>1904.53*95</f>
        <v>180930.35</v>
      </c>
      <c r="K454" s="232"/>
      <c r="L454" s="232"/>
      <c r="M454" s="232"/>
      <c r="N454" s="232"/>
      <c r="O454" s="232"/>
      <c r="P454" s="233"/>
      <c r="Q454" s="247"/>
      <c r="R454" s="248"/>
      <c r="S454" s="235"/>
    </row>
    <row r="455" spans="1:19" s="2" customFormat="1" ht="38.25" customHeight="1" x14ac:dyDescent="0.25">
      <c r="A455" s="18"/>
      <c r="B455" s="122"/>
      <c r="C455" s="132" t="s">
        <v>47</v>
      </c>
      <c r="D455" s="100" t="s">
        <v>217</v>
      </c>
      <c r="E455" s="89">
        <f>SUM(E453:E454)</f>
        <v>34675.642000000007</v>
      </c>
      <c r="F455" s="89"/>
      <c r="G455" s="87">
        <f>SUM(G453:G454)</f>
        <v>133795.93971999999</v>
      </c>
      <c r="H455" s="87">
        <f>SUM(H453:H454)</f>
        <v>1591582.12</v>
      </c>
      <c r="I455" s="87">
        <v>10665.37</v>
      </c>
      <c r="J455" s="87">
        <v>180930.35</v>
      </c>
      <c r="K455" s="87"/>
      <c r="L455" s="87"/>
      <c r="M455" s="87"/>
      <c r="N455" s="87"/>
      <c r="O455" s="87"/>
      <c r="P455" s="221" t="s">
        <v>190</v>
      </c>
      <c r="Q455" s="76"/>
      <c r="R455" s="77"/>
      <c r="S455" s="50"/>
    </row>
    <row r="456" spans="1:19" x14ac:dyDescent="0.25">
      <c r="A456" s="23"/>
      <c r="B456" s="23"/>
      <c r="C456" s="23"/>
      <c r="D456" s="36"/>
      <c r="E456" s="53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72"/>
      <c r="S456" s="55"/>
    </row>
    <row r="457" spans="1:19" ht="26.25" customHeight="1" x14ac:dyDescent="0.25">
      <c r="A457" s="16"/>
      <c r="B457" s="115" t="s">
        <v>40</v>
      </c>
      <c r="C457" s="136" t="s">
        <v>48</v>
      </c>
      <c r="D457" s="160">
        <v>2011</v>
      </c>
      <c r="E457" s="161">
        <v>1743.89</v>
      </c>
      <c r="F457" s="141">
        <v>3.18</v>
      </c>
      <c r="G457" s="142">
        <f>E457*F457</f>
        <v>5545.570200000001</v>
      </c>
      <c r="H457" s="142">
        <v>5231.67</v>
      </c>
      <c r="I457" s="92"/>
      <c r="J457" s="92"/>
      <c r="K457" s="84"/>
      <c r="L457" s="119"/>
      <c r="M457" s="119"/>
      <c r="N457" s="119"/>
      <c r="O457" s="119"/>
      <c r="P457" s="84">
        <v>0</v>
      </c>
      <c r="Q457" s="38"/>
      <c r="R457" s="75"/>
      <c r="S457" s="51"/>
    </row>
    <row r="458" spans="1:19" x14ac:dyDescent="0.25">
      <c r="A458" s="16"/>
      <c r="B458" s="119"/>
      <c r="C458" s="136" t="s">
        <v>48</v>
      </c>
      <c r="D458" s="160">
        <v>2012</v>
      </c>
      <c r="E458" s="161">
        <v>3006.1</v>
      </c>
      <c r="F458" s="141">
        <v>3.18</v>
      </c>
      <c r="G458" s="142">
        <f>E458*F458</f>
        <v>9559.398000000001</v>
      </c>
      <c r="H458" s="142">
        <v>27054.9</v>
      </c>
      <c r="I458" s="92"/>
      <c r="J458" s="92"/>
      <c r="K458" s="84"/>
      <c r="L458" s="119"/>
      <c r="M458" s="119"/>
      <c r="N458" s="119"/>
      <c r="O458" s="119"/>
      <c r="P458" s="84">
        <v>0</v>
      </c>
      <c r="Q458" s="38"/>
      <c r="R458" s="75"/>
      <c r="S458" s="51"/>
    </row>
    <row r="459" spans="1:19" ht="40.5" customHeight="1" x14ac:dyDescent="0.25">
      <c r="A459" s="18"/>
      <c r="B459" s="122"/>
      <c r="C459" s="132" t="s">
        <v>48</v>
      </c>
      <c r="D459" s="96" t="s">
        <v>25</v>
      </c>
      <c r="E459" s="89">
        <f>SUM(E457:E458)</f>
        <v>4749.99</v>
      </c>
      <c r="F459" s="89"/>
      <c r="G459" s="87">
        <f t="shared" ref="G459:H459" si="144">SUM(G457:G458)</f>
        <v>15104.968200000003</v>
      </c>
      <c r="H459" s="87">
        <f t="shared" si="144"/>
        <v>32286.57</v>
      </c>
      <c r="I459" s="87"/>
      <c r="J459" s="87"/>
      <c r="K459" s="87"/>
      <c r="L459" s="122"/>
      <c r="M459" s="122"/>
      <c r="N459" s="122"/>
      <c r="O459" s="122"/>
      <c r="P459" s="87">
        <v>0</v>
      </c>
      <c r="Q459" s="76"/>
      <c r="R459" s="77"/>
      <c r="S459" s="50"/>
    </row>
    <row r="460" spans="1:19" x14ac:dyDescent="0.25">
      <c r="A460" s="16"/>
      <c r="B460" s="119"/>
      <c r="C460" s="136" t="s">
        <v>48</v>
      </c>
      <c r="D460" s="160">
        <v>2013</v>
      </c>
      <c r="E460" s="161">
        <v>3371.7</v>
      </c>
      <c r="F460" s="141">
        <v>3.18</v>
      </c>
      <c r="G460" s="94">
        <f>E460*F460</f>
        <v>10722.005999999999</v>
      </c>
      <c r="H460" s="94">
        <v>50575.5</v>
      </c>
      <c r="I460" s="84"/>
      <c r="J460" s="84"/>
      <c r="K460" s="84"/>
      <c r="L460" s="119"/>
      <c r="M460" s="119"/>
      <c r="N460" s="119"/>
      <c r="O460" s="119"/>
      <c r="P460" s="84">
        <v>0</v>
      </c>
      <c r="Q460" s="38"/>
      <c r="R460" s="75"/>
      <c r="S460" s="51"/>
    </row>
    <row r="461" spans="1:19" ht="39" customHeight="1" x14ac:dyDescent="0.25">
      <c r="A461" s="18"/>
      <c r="B461" s="122"/>
      <c r="C461" s="132" t="s">
        <v>48</v>
      </c>
      <c r="D461" s="96" t="s">
        <v>38</v>
      </c>
      <c r="E461" s="89">
        <f>SUM(E459:E460)</f>
        <v>8121.69</v>
      </c>
      <c r="F461" s="89"/>
      <c r="G461" s="87">
        <f t="shared" ref="G461:H461" si="145">SUM(G459:G460)</f>
        <v>25826.974200000004</v>
      </c>
      <c r="H461" s="87">
        <f t="shared" si="145"/>
        <v>82862.070000000007</v>
      </c>
      <c r="I461" s="87"/>
      <c r="J461" s="87"/>
      <c r="K461" s="87"/>
      <c r="L461" s="122"/>
      <c r="M461" s="122"/>
      <c r="N461" s="122"/>
      <c r="O461" s="122"/>
      <c r="P461" s="87">
        <v>0</v>
      </c>
      <c r="Q461" s="76"/>
      <c r="R461" s="77"/>
      <c r="S461" s="50"/>
    </row>
    <row r="462" spans="1:19" x14ac:dyDescent="0.25">
      <c r="A462" s="16"/>
      <c r="B462" s="119"/>
      <c r="C462" s="136" t="s">
        <v>48</v>
      </c>
      <c r="D462" s="160">
        <v>2014</v>
      </c>
      <c r="E462" s="161">
        <v>3593.92</v>
      </c>
      <c r="F462" s="141">
        <v>3.18</v>
      </c>
      <c r="G462" s="94">
        <f>E462*F462</f>
        <v>11428.6656</v>
      </c>
      <c r="H462" s="94">
        <v>79066.240000000005</v>
      </c>
      <c r="I462" s="84"/>
      <c r="J462" s="84"/>
      <c r="K462" s="84"/>
      <c r="L462" s="119"/>
      <c r="M462" s="119"/>
      <c r="N462" s="119"/>
      <c r="O462" s="119"/>
      <c r="P462" s="84">
        <v>0</v>
      </c>
      <c r="Q462" s="38"/>
      <c r="R462" s="75"/>
      <c r="S462" s="51"/>
    </row>
    <row r="463" spans="1:19" ht="39" customHeight="1" x14ac:dyDescent="0.25">
      <c r="A463" s="18"/>
      <c r="B463" s="122"/>
      <c r="C463" s="132" t="s">
        <v>48</v>
      </c>
      <c r="D463" s="96" t="s">
        <v>24</v>
      </c>
      <c r="E463" s="89">
        <f>SUM(E461:E462)</f>
        <v>11715.61</v>
      </c>
      <c r="F463" s="89"/>
      <c r="G463" s="87">
        <f t="shared" ref="G463:H463" si="146">SUM(G461:G462)</f>
        <v>37255.639800000004</v>
      </c>
      <c r="H463" s="87">
        <f t="shared" si="146"/>
        <v>161928.31</v>
      </c>
      <c r="I463" s="87"/>
      <c r="J463" s="87"/>
      <c r="K463" s="87"/>
      <c r="L463" s="122"/>
      <c r="M463" s="122"/>
      <c r="N463" s="122"/>
      <c r="O463" s="122"/>
      <c r="P463" s="87">
        <v>0</v>
      </c>
      <c r="Q463" s="76"/>
      <c r="R463" s="77"/>
      <c r="S463" s="50"/>
    </row>
    <row r="464" spans="1:19" x14ac:dyDescent="0.25">
      <c r="A464" s="16"/>
      <c r="B464" s="119"/>
      <c r="C464" s="136" t="s">
        <v>48</v>
      </c>
      <c r="D464" s="160">
        <v>2015</v>
      </c>
      <c r="E464" s="161">
        <v>3972.66</v>
      </c>
      <c r="F464" s="141">
        <v>3.37</v>
      </c>
      <c r="G464" s="94">
        <f>E464*F464</f>
        <v>13387.8642</v>
      </c>
      <c r="H464" s="94">
        <v>111234.48</v>
      </c>
      <c r="I464" s="84"/>
      <c r="J464" s="84"/>
      <c r="K464" s="84"/>
      <c r="L464" s="119"/>
      <c r="M464" s="119"/>
      <c r="N464" s="119"/>
      <c r="O464" s="119"/>
      <c r="P464" s="84">
        <v>0</v>
      </c>
      <c r="Q464" s="38"/>
      <c r="R464" s="75"/>
      <c r="S464" s="51"/>
    </row>
    <row r="465" spans="1:23" ht="41.25" customHeight="1" x14ac:dyDescent="0.25">
      <c r="A465" s="18"/>
      <c r="B465" s="122"/>
      <c r="C465" s="132" t="s">
        <v>48</v>
      </c>
      <c r="D465" s="96" t="s">
        <v>26</v>
      </c>
      <c r="E465" s="89">
        <f>SUM(E463:E464)</f>
        <v>15688.27</v>
      </c>
      <c r="F465" s="89"/>
      <c r="G465" s="87">
        <f t="shared" ref="G465:H465" si="147">SUM(G463:G464)</f>
        <v>50643.504000000001</v>
      </c>
      <c r="H465" s="87">
        <f t="shared" si="147"/>
        <v>273162.78999999998</v>
      </c>
      <c r="I465" s="87"/>
      <c r="J465" s="87"/>
      <c r="K465" s="87"/>
      <c r="L465" s="122"/>
      <c r="M465" s="122"/>
      <c r="N465" s="122"/>
      <c r="O465" s="122"/>
      <c r="P465" s="87">
        <v>0</v>
      </c>
      <c r="Q465" s="76"/>
      <c r="R465" s="77"/>
      <c r="S465" s="50"/>
    </row>
    <row r="466" spans="1:23" x14ac:dyDescent="0.25">
      <c r="A466" s="16"/>
      <c r="B466" s="119"/>
      <c r="C466" s="136" t="s">
        <v>48</v>
      </c>
      <c r="D466" s="99" t="s">
        <v>29</v>
      </c>
      <c r="E466" s="137">
        <v>800</v>
      </c>
      <c r="F466" s="141">
        <v>3.37</v>
      </c>
      <c r="G466" s="94">
        <f>E466*F466</f>
        <v>2696</v>
      </c>
      <c r="H466" s="94">
        <v>28800</v>
      </c>
      <c r="I466" s="84"/>
      <c r="J466" s="84"/>
      <c r="K466" s="84"/>
      <c r="L466" s="119"/>
      <c r="M466" s="119"/>
      <c r="N466" s="119"/>
      <c r="O466" s="119"/>
      <c r="P466" s="84">
        <v>0</v>
      </c>
      <c r="Q466" s="38"/>
      <c r="R466" s="75"/>
      <c r="S466" s="51"/>
    </row>
    <row r="467" spans="1:23" ht="38.25" x14ac:dyDescent="0.25">
      <c r="A467" s="18"/>
      <c r="B467" s="122"/>
      <c r="C467" s="132" t="s">
        <v>48</v>
      </c>
      <c r="D467" s="100" t="s">
        <v>30</v>
      </c>
      <c r="E467" s="89">
        <f>SUM(E465:E466)</f>
        <v>16488.27</v>
      </c>
      <c r="F467" s="89"/>
      <c r="G467" s="87">
        <f t="shared" ref="G467:H467" si="148">SUM(G465:G466)</f>
        <v>53339.504000000001</v>
      </c>
      <c r="H467" s="87">
        <f t="shared" si="148"/>
        <v>301962.78999999998</v>
      </c>
      <c r="I467" s="87"/>
      <c r="J467" s="87"/>
      <c r="K467" s="87"/>
      <c r="L467" s="122"/>
      <c r="M467" s="122"/>
      <c r="N467" s="122"/>
      <c r="O467" s="122"/>
      <c r="P467" s="87">
        <v>0</v>
      </c>
      <c r="Q467" s="76"/>
      <c r="R467" s="77"/>
      <c r="S467" s="50"/>
      <c r="W467" s="2"/>
    </row>
    <row r="468" spans="1:23" x14ac:dyDescent="0.25">
      <c r="A468" s="16"/>
      <c r="B468" s="119"/>
      <c r="C468" s="136" t="s">
        <v>48</v>
      </c>
      <c r="D468" s="99" t="s">
        <v>31</v>
      </c>
      <c r="E468" s="137">
        <v>755.76</v>
      </c>
      <c r="F468" s="141">
        <v>3.37</v>
      </c>
      <c r="G468" s="94">
        <f>E468*F468</f>
        <v>2546.9112</v>
      </c>
      <c r="H468" s="94">
        <v>27207.360000000001</v>
      </c>
      <c r="I468" s="84"/>
      <c r="J468" s="84"/>
      <c r="K468" s="84"/>
      <c r="L468" s="119"/>
      <c r="M468" s="119"/>
      <c r="N468" s="119"/>
      <c r="O468" s="119"/>
      <c r="P468" s="84">
        <v>0</v>
      </c>
      <c r="Q468" s="38"/>
      <c r="R468" s="75"/>
      <c r="S468" s="51"/>
    </row>
    <row r="469" spans="1:23" ht="38.25" x14ac:dyDescent="0.25">
      <c r="A469" s="16"/>
      <c r="B469" s="119"/>
      <c r="C469" s="136" t="s">
        <v>54</v>
      </c>
      <c r="D469" s="99"/>
      <c r="E469" s="137">
        <v>27.38</v>
      </c>
      <c r="F469" s="84">
        <v>0</v>
      </c>
      <c r="G469" s="94">
        <v>0</v>
      </c>
      <c r="H469" s="94">
        <v>0</v>
      </c>
      <c r="I469" s="84"/>
      <c r="J469" s="84"/>
      <c r="K469" s="84"/>
      <c r="L469" s="119"/>
      <c r="M469" s="119"/>
      <c r="N469" s="119"/>
      <c r="O469" s="119"/>
      <c r="P469" s="84"/>
      <c r="Q469" s="38"/>
      <c r="R469" s="75"/>
      <c r="S469" s="51"/>
    </row>
    <row r="470" spans="1:23" ht="39" customHeight="1" x14ac:dyDescent="0.25">
      <c r="A470" s="18"/>
      <c r="B470" s="122"/>
      <c r="C470" s="132" t="s">
        <v>48</v>
      </c>
      <c r="D470" s="100" t="s">
        <v>32</v>
      </c>
      <c r="E470" s="89">
        <f>SUM(E467:E469)</f>
        <v>17271.41</v>
      </c>
      <c r="F470" s="89"/>
      <c r="G470" s="87">
        <f t="shared" ref="G470:H470" si="149">SUM(G467:G469)</f>
        <v>55886.415200000003</v>
      </c>
      <c r="H470" s="87">
        <f t="shared" si="149"/>
        <v>329170.14999999997</v>
      </c>
      <c r="I470" s="87"/>
      <c r="J470" s="87"/>
      <c r="K470" s="87"/>
      <c r="L470" s="122"/>
      <c r="M470" s="122"/>
      <c r="N470" s="122"/>
      <c r="O470" s="122"/>
      <c r="P470" s="87">
        <v>0</v>
      </c>
      <c r="Q470" s="76"/>
      <c r="R470" s="77"/>
      <c r="S470" s="50"/>
    </row>
    <row r="471" spans="1:23" x14ac:dyDescent="0.25">
      <c r="A471" s="16"/>
      <c r="B471" s="119"/>
      <c r="C471" s="136" t="s">
        <v>48</v>
      </c>
      <c r="D471" s="99" t="s">
        <v>33</v>
      </c>
      <c r="E471" s="137">
        <v>852.64</v>
      </c>
      <c r="F471" s="141">
        <v>3.37</v>
      </c>
      <c r="G471" s="94">
        <f>E471*F471</f>
        <v>2873.3968</v>
      </c>
      <c r="H471" s="94">
        <v>30695.040000000001</v>
      </c>
      <c r="I471" s="84"/>
      <c r="J471" s="84"/>
      <c r="K471" s="84"/>
      <c r="L471" s="119"/>
      <c r="M471" s="119"/>
      <c r="N471" s="119"/>
      <c r="O471" s="119"/>
      <c r="P471" s="84">
        <v>178807.2</v>
      </c>
      <c r="Q471" s="38"/>
      <c r="R471" s="75"/>
      <c r="S471" s="51"/>
    </row>
    <row r="472" spans="1:23" ht="38.25" x14ac:dyDescent="0.25">
      <c r="A472" s="18"/>
      <c r="B472" s="122"/>
      <c r="C472" s="132" t="s">
        <v>48</v>
      </c>
      <c r="D472" s="100" t="s">
        <v>35</v>
      </c>
      <c r="E472" s="89">
        <f>SUM(E470:E471)</f>
        <v>18124.05</v>
      </c>
      <c r="F472" s="89"/>
      <c r="G472" s="87">
        <f t="shared" ref="G472:H472" si="150">SUM(G470:G471)</f>
        <v>58759.812000000005</v>
      </c>
      <c r="H472" s="87">
        <f t="shared" si="150"/>
        <v>359865.18999999994</v>
      </c>
      <c r="I472" s="87"/>
      <c r="J472" s="87"/>
      <c r="K472" s="87"/>
      <c r="L472" s="122"/>
      <c r="M472" s="122"/>
      <c r="N472" s="122"/>
      <c r="O472" s="122"/>
      <c r="P472" s="87">
        <v>178807.2</v>
      </c>
      <c r="Q472" s="76"/>
      <c r="R472" s="77"/>
      <c r="S472" s="50"/>
    </row>
    <row r="473" spans="1:23" x14ac:dyDescent="0.25">
      <c r="A473" s="16"/>
      <c r="B473" s="119"/>
      <c r="C473" s="136" t="s">
        <v>48</v>
      </c>
      <c r="D473" s="99" t="s">
        <v>34</v>
      </c>
      <c r="E473" s="137">
        <v>865.5</v>
      </c>
      <c r="F473" s="141">
        <v>3.37</v>
      </c>
      <c r="G473" s="94">
        <f>E473*F473</f>
        <v>2916.7350000000001</v>
      </c>
      <c r="H473" s="94">
        <v>31158</v>
      </c>
      <c r="I473" s="84"/>
      <c r="J473" s="84"/>
      <c r="K473" s="84"/>
      <c r="L473" s="119"/>
      <c r="M473" s="119"/>
      <c r="N473" s="119"/>
      <c r="O473" s="119"/>
      <c r="P473" s="84">
        <v>0</v>
      </c>
      <c r="Q473" s="38"/>
      <c r="R473" s="75"/>
      <c r="S473" s="51"/>
    </row>
    <row r="474" spans="1:23" ht="38.25" x14ac:dyDescent="0.25">
      <c r="A474" s="18"/>
      <c r="B474" s="122"/>
      <c r="C474" s="132" t="s">
        <v>48</v>
      </c>
      <c r="D474" s="100" t="s">
        <v>36</v>
      </c>
      <c r="E474" s="89">
        <f>SUM(E472:E473)</f>
        <v>18989.55</v>
      </c>
      <c r="F474" s="89"/>
      <c r="G474" s="87">
        <f t="shared" ref="G474:H474" si="151">SUM(G472:G473)</f>
        <v>61676.547000000006</v>
      </c>
      <c r="H474" s="87">
        <f t="shared" si="151"/>
        <v>391023.18999999994</v>
      </c>
      <c r="I474" s="87"/>
      <c r="J474" s="87"/>
      <c r="K474" s="87"/>
      <c r="L474" s="122"/>
      <c r="M474" s="122"/>
      <c r="N474" s="122"/>
      <c r="O474" s="122"/>
      <c r="P474" s="87">
        <v>178807.2</v>
      </c>
      <c r="Q474" s="76"/>
      <c r="R474" s="77"/>
      <c r="S474" s="50"/>
    </row>
    <row r="475" spans="1:23" s="2" customFormat="1" x14ac:dyDescent="0.25">
      <c r="A475" s="20"/>
      <c r="B475" s="129"/>
      <c r="C475" s="131" t="s">
        <v>48</v>
      </c>
      <c r="D475" s="99" t="s">
        <v>57</v>
      </c>
      <c r="E475" s="93">
        <v>766.68</v>
      </c>
      <c r="F475" s="94">
        <v>3.37</v>
      </c>
      <c r="G475" s="94">
        <f>E475*F475</f>
        <v>2583.7116000000001</v>
      </c>
      <c r="H475" s="94">
        <v>30667.200000000001</v>
      </c>
      <c r="I475" s="94"/>
      <c r="J475" s="94"/>
      <c r="K475" s="94"/>
      <c r="L475" s="129"/>
      <c r="M475" s="129"/>
      <c r="N475" s="129"/>
      <c r="O475" s="129"/>
      <c r="P475" s="94">
        <v>0</v>
      </c>
      <c r="Q475" s="73"/>
      <c r="R475" s="74"/>
      <c r="S475" s="47"/>
    </row>
    <row r="476" spans="1:23" s="2" customFormat="1" ht="38.25" x14ac:dyDescent="0.25">
      <c r="A476" s="18"/>
      <c r="B476" s="122"/>
      <c r="C476" s="132" t="s">
        <v>48</v>
      </c>
      <c r="D476" s="100" t="s">
        <v>58</v>
      </c>
      <c r="E476" s="89">
        <f>SUM(E474:E475)</f>
        <v>19756.23</v>
      </c>
      <c r="F476" s="89"/>
      <c r="G476" s="87">
        <f t="shared" ref="G476:H476" si="152">SUM(G474:G475)</f>
        <v>64260.258600000008</v>
      </c>
      <c r="H476" s="87">
        <f t="shared" si="152"/>
        <v>421690.38999999996</v>
      </c>
      <c r="I476" s="87"/>
      <c r="J476" s="87"/>
      <c r="K476" s="87"/>
      <c r="L476" s="122"/>
      <c r="M476" s="122"/>
      <c r="N476" s="122"/>
      <c r="O476" s="122"/>
      <c r="P476" s="87">
        <v>178807.2</v>
      </c>
      <c r="Q476" s="76"/>
      <c r="R476" s="77"/>
      <c r="S476" s="50"/>
    </row>
    <row r="477" spans="1:23" s="2" customFormat="1" x14ac:dyDescent="0.25">
      <c r="A477" s="20"/>
      <c r="B477" s="129"/>
      <c r="C477" s="131" t="s">
        <v>48</v>
      </c>
      <c r="D477" s="99" t="s">
        <v>61</v>
      </c>
      <c r="E477" s="93">
        <v>927.08</v>
      </c>
      <c r="F477" s="94">
        <v>3.37</v>
      </c>
      <c r="G477" s="94">
        <f>E477*F477</f>
        <v>3124.2596000000003</v>
      </c>
      <c r="H477" s="94">
        <v>37083.199999999997</v>
      </c>
      <c r="I477" s="94"/>
      <c r="J477" s="94"/>
      <c r="K477" s="94"/>
      <c r="L477" s="129"/>
      <c r="M477" s="129"/>
      <c r="N477" s="129"/>
      <c r="O477" s="129"/>
      <c r="P477" s="94">
        <v>54089.37</v>
      </c>
      <c r="Q477" s="73"/>
      <c r="R477" s="74"/>
      <c r="S477" s="47"/>
    </row>
    <row r="478" spans="1:23" s="2" customFormat="1" ht="39.75" customHeight="1" x14ac:dyDescent="0.25">
      <c r="A478" s="18"/>
      <c r="B478" s="122"/>
      <c r="C478" s="132" t="s">
        <v>48</v>
      </c>
      <c r="D478" s="100" t="s">
        <v>63</v>
      </c>
      <c r="E478" s="89">
        <f>SUM(E476:E477)</f>
        <v>20683.310000000001</v>
      </c>
      <c r="F478" s="89"/>
      <c r="G478" s="87">
        <f t="shared" ref="G478:H478" si="153">SUM(G476:G477)</f>
        <v>67384.518200000006</v>
      </c>
      <c r="H478" s="87">
        <f t="shared" si="153"/>
        <v>458773.58999999997</v>
      </c>
      <c r="I478" s="87"/>
      <c r="J478" s="87"/>
      <c r="K478" s="87"/>
      <c r="L478" s="122"/>
      <c r="M478" s="122"/>
      <c r="N478" s="122"/>
      <c r="O478" s="122"/>
      <c r="P478" s="87">
        <f>SUM(P476:P477)</f>
        <v>232896.57</v>
      </c>
      <c r="Q478" s="76"/>
      <c r="R478" s="77"/>
      <c r="S478" s="50"/>
    </row>
    <row r="479" spans="1:23" s="2" customFormat="1" ht="16.5" customHeight="1" x14ac:dyDescent="0.25">
      <c r="A479" s="20"/>
      <c r="B479" s="129"/>
      <c r="C479" s="131" t="s">
        <v>48</v>
      </c>
      <c r="D479" s="99" t="s">
        <v>64</v>
      </c>
      <c r="E479" s="93">
        <v>956.84</v>
      </c>
      <c r="F479" s="93">
        <v>3.37</v>
      </c>
      <c r="G479" s="94">
        <f>E479*F479</f>
        <v>3224.5508000000004</v>
      </c>
      <c r="H479" s="94">
        <v>38273.599999999999</v>
      </c>
      <c r="I479" s="94"/>
      <c r="J479" s="94"/>
      <c r="K479" s="94"/>
      <c r="L479" s="129"/>
      <c r="M479" s="129"/>
      <c r="N479" s="129"/>
      <c r="O479" s="129"/>
      <c r="P479" s="94">
        <v>0</v>
      </c>
      <c r="Q479" s="73"/>
      <c r="R479" s="74"/>
      <c r="S479" s="47"/>
    </row>
    <row r="480" spans="1:23" s="2" customFormat="1" ht="39.75" customHeight="1" x14ac:dyDescent="0.25">
      <c r="A480" s="18"/>
      <c r="B480" s="122"/>
      <c r="C480" s="132" t="s">
        <v>48</v>
      </c>
      <c r="D480" s="100" t="s">
        <v>65</v>
      </c>
      <c r="E480" s="89">
        <f>SUM(E478:E479)</f>
        <v>21640.15</v>
      </c>
      <c r="F480" s="89"/>
      <c r="G480" s="87">
        <f t="shared" ref="G480:H480" si="154">SUM(G478:G479)</f>
        <v>70609.069000000003</v>
      </c>
      <c r="H480" s="87">
        <f t="shared" si="154"/>
        <v>497047.18999999994</v>
      </c>
      <c r="I480" s="87"/>
      <c r="J480" s="87"/>
      <c r="K480" s="87"/>
      <c r="L480" s="122"/>
      <c r="M480" s="122"/>
      <c r="N480" s="122"/>
      <c r="O480" s="122"/>
      <c r="P480" s="87">
        <v>232896.57</v>
      </c>
      <c r="Q480" s="76"/>
      <c r="R480" s="77"/>
      <c r="S480" s="50"/>
    </row>
    <row r="481" spans="1:19" s="2" customFormat="1" ht="19.5" customHeight="1" x14ac:dyDescent="0.25">
      <c r="A481" s="20"/>
      <c r="B481" s="129"/>
      <c r="C481" s="136" t="s">
        <v>48</v>
      </c>
      <c r="D481" s="99" t="s">
        <v>70</v>
      </c>
      <c r="E481" s="93">
        <v>764.16</v>
      </c>
      <c r="F481" s="94">
        <v>3.37</v>
      </c>
      <c r="G481" s="94">
        <v>2575.2192</v>
      </c>
      <c r="H481" s="94">
        <v>30566.399999999998</v>
      </c>
      <c r="I481" s="94"/>
      <c r="J481" s="94"/>
      <c r="K481" s="94"/>
      <c r="L481" s="129"/>
      <c r="M481" s="129"/>
      <c r="N481" s="129"/>
      <c r="O481" s="129"/>
      <c r="P481" s="94">
        <v>0</v>
      </c>
      <c r="Q481" s="73"/>
      <c r="R481" s="74"/>
      <c r="S481" s="47"/>
    </row>
    <row r="482" spans="1:19" s="2" customFormat="1" ht="39.75" customHeight="1" x14ac:dyDescent="0.25">
      <c r="A482" s="18"/>
      <c r="B482" s="122"/>
      <c r="C482" s="132" t="s">
        <v>48</v>
      </c>
      <c r="D482" s="100" t="s">
        <v>69</v>
      </c>
      <c r="E482" s="89">
        <f>SUM(E480:E481)</f>
        <v>22404.31</v>
      </c>
      <c r="F482" s="89"/>
      <c r="G482" s="87">
        <f t="shared" ref="G482:H482" si="155">SUM(G480:G481)</f>
        <v>73184.28820000001</v>
      </c>
      <c r="H482" s="87">
        <f t="shared" si="155"/>
        <v>527613.59</v>
      </c>
      <c r="I482" s="87"/>
      <c r="J482" s="87"/>
      <c r="K482" s="87"/>
      <c r="L482" s="122"/>
      <c r="M482" s="122"/>
      <c r="N482" s="122"/>
      <c r="O482" s="122"/>
      <c r="P482" s="87">
        <v>232896.57</v>
      </c>
      <c r="Q482" s="76"/>
      <c r="R482" s="77"/>
      <c r="S482" s="50"/>
    </row>
    <row r="483" spans="1:19" s="2" customFormat="1" ht="21.75" customHeight="1" x14ac:dyDescent="0.25">
      <c r="A483" s="20"/>
      <c r="B483" s="129"/>
      <c r="C483" s="131" t="s">
        <v>48</v>
      </c>
      <c r="D483" s="99" t="s">
        <v>71</v>
      </c>
      <c r="E483" s="93">
        <v>698.26</v>
      </c>
      <c r="F483" s="94">
        <v>3.45</v>
      </c>
      <c r="G483" s="94">
        <f>E483*F483</f>
        <v>2408.9970000000003</v>
      </c>
      <c r="H483" s="94">
        <f>E483*45</f>
        <v>31421.7</v>
      </c>
      <c r="I483" s="94"/>
      <c r="J483" s="94"/>
      <c r="K483" s="94"/>
      <c r="L483" s="129"/>
      <c r="M483" s="129"/>
      <c r="N483" s="129"/>
      <c r="O483" s="129"/>
      <c r="P483" s="94">
        <v>0</v>
      </c>
      <c r="Q483" s="73"/>
      <c r="R483" s="74"/>
      <c r="S483" s="47"/>
    </row>
    <row r="484" spans="1:19" s="2" customFormat="1" ht="39.75" customHeight="1" x14ac:dyDescent="0.25">
      <c r="A484" s="18"/>
      <c r="B484" s="122"/>
      <c r="C484" s="132" t="s">
        <v>48</v>
      </c>
      <c r="D484" s="100" t="s">
        <v>72</v>
      </c>
      <c r="E484" s="89">
        <f>SUM(E482:E483)</f>
        <v>23102.57</v>
      </c>
      <c r="F484" s="89"/>
      <c r="G484" s="87">
        <f t="shared" ref="G484:H484" si="156">SUM(G482:G483)</f>
        <v>75593.285200000013</v>
      </c>
      <c r="H484" s="87">
        <f t="shared" si="156"/>
        <v>559035.28999999992</v>
      </c>
      <c r="I484" s="87"/>
      <c r="J484" s="87"/>
      <c r="K484" s="87"/>
      <c r="L484" s="122"/>
      <c r="M484" s="122"/>
      <c r="N484" s="122"/>
      <c r="O484" s="122"/>
      <c r="P484" s="87">
        <v>232896.57</v>
      </c>
      <c r="Q484" s="76"/>
      <c r="R484" s="77"/>
      <c r="S484" s="50"/>
    </row>
    <row r="485" spans="1:19" s="2" customFormat="1" ht="24" customHeight="1" x14ac:dyDescent="0.25">
      <c r="A485" s="20"/>
      <c r="B485" s="129"/>
      <c r="C485" s="131" t="s">
        <v>48</v>
      </c>
      <c r="D485" s="99" t="s">
        <v>73</v>
      </c>
      <c r="E485" s="93">
        <v>1016</v>
      </c>
      <c r="F485" s="94">
        <v>3.45</v>
      </c>
      <c r="G485" s="94">
        <f>E485*F485</f>
        <v>3505.2000000000003</v>
      </c>
      <c r="H485" s="94">
        <f>E485*45</f>
        <v>45720</v>
      </c>
      <c r="I485" s="94"/>
      <c r="J485" s="94"/>
      <c r="K485" s="94"/>
      <c r="L485" s="129"/>
      <c r="M485" s="129"/>
      <c r="N485" s="129"/>
      <c r="O485" s="129"/>
      <c r="P485" s="94">
        <v>0</v>
      </c>
      <c r="Q485" s="73"/>
      <c r="R485" s="74"/>
      <c r="S485" s="47"/>
    </row>
    <row r="486" spans="1:19" s="2" customFormat="1" ht="39.75" customHeight="1" x14ac:dyDescent="0.25">
      <c r="A486" s="18"/>
      <c r="B486" s="122"/>
      <c r="C486" s="132" t="s">
        <v>48</v>
      </c>
      <c r="D486" s="100" t="s">
        <v>74</v>
      </c>
      <c r="E486" s="89">
        <f>SUM(E484:E485)</f>
        <v>24118.57</v>
      </c>
      <c r="F486" s="89"/>
      <c r="G486" s="87">
        <f t="shared" ref="G486:H486" si="157">SUM(G484:G485)</f>
        <v>79098.48520000001</v>
      </c>
      <c r="H486" s="87">
        <f t="shared" si="157"/>
        <v>604755.28999999992</v>
      </c>
      <c r="I486" s="87"/>
      <c r="J486" s="87"/>
      <c r="K486" s="87"/>
      <c r="L486" s="122"/>
      <c r="M486" s="122"/>
      <c r="N486" s="122"/>
      <c r="O486" s="122"/>
      <c r="P486" s="87">
        <v>232896.57</v>
      </c>
      <c r="Q486" s="76"/>
      <c r="R486" s="77"/>
      <c r="S486" s="50"/>
    </row>
    <row r="487" spans="1:19" s="2" customFormat="1" ht="19.5" customHeight="1" x14ac:dyDescent="0.25">
      <c r="A487" s="20"/>
      <c r="B487" s="129"/>
      <c r="C487" s="131" t="s">
        <v>48</v>
      </c>
      <c r="D487" s="99" t="s">
        <v>76</v>
      </c>
      <c r="E487" s="93">
        <v>885.86</v>
      </c>
      <c r="F487" s="94">
        <v>3.45</v>
      </c>
      <c r="G487" s="94">
        <f>E487*F487</f>
        <v>3056.2170000000001</v>
      </c>
      <c r="H487" s="94">
        <f>E487*45</f>
        <v>39863.699999999997</v>
      </c>
      <c r="I487" s="94"/>
      <c r="J487" s="94"/>
      <c r="K487" s="94"/>
      <c r="L487" s="129"/>
      <c r="M487" s="129"/>
      <c r="N487" s="129"/>
      <c r="O487" s="129"/>
      <c r="P487" s="94">
        <v>0</v>
      </c>
      <c r="Q487" s="73"/>
      <c r="R487" s="74"/>
      <c r="S487" s="47"/>
    </row>
    <row r="488" spans="1:19" s="2" customFormat="1" ht="39.75" customHeight="1" x14ac:dyDescent="0.25">
      <c r="A488" s="20"/>
      <c r="B488" s="129"/>
      <c r="C488" s="131" t="s">
        <v>54</v>
      </c>
      <c r="D488" s="104"/>
      <c r="E488" s="93">
        <v>8.5</v>
      </c>
      <c r="F488" s="94">
        <v>0</v>
      </c>
      <c r="G488" s="94">
        <v>0</v>
      </c>
      <c r="H488" s="94">
        <v>0</v>
      </c>
      <c r="I488" s="94"/>
      <c r="J488" s="94"/>
      <c r="K488" s="94"/>
      <c r="L488" s="129"/>
      <c r="M488" s="129"/>
      <c r="N488" s="129"/>
      <c r="O488" s="129"/>
      <c r="P488" s="94"/>
      <c r="Q488" s="73"/>
      <c r="R488" s="74"/>
      <c r="S488" s="47"/>
    </row>
    <row r="489" spans="1:19" s="2" customFormat="1" ht="39.75" customHeight="1" x14ac:dyDescent="0.25">
      <c r="A489" s="18"/>
      <c r="B489" s="122"/>
      <c r="C489" s="132" t="s">
        <v>48</v>
      </c>
      <c r="D489" s="100" t="s">
        <v>77</v>
      </c>
      <c r="E489" s="89">
        <f>SUM(E486:E488)</f>
        <v>25012.93</v>
      </c>
      <c r="F489" s="89"/>
      <c r="G489" s="87">
        <f t="shared" ref="G489:H489" si="158">SUM(G486:G488)</f>
        <v>82154.702200000014</v>
      </c>
      <c r="H489" s="87">
        <f t="shared" si="158"/>
        <v>644618.98999999987</v>
      </c>
      <c r="I489" s="87"/>
      <c r="J489" s="87"/>
      <c r="K489" s="87"/>
      <c r="L489" s="122"/>
      <c r="M489" s="122"/>
      <c r="N489" s="122"/>
      <c r="O489" s="122"/>
      <c r="P489" s="87">
        <v>232896.57</v>
      </c>
      <c r="Q489" s="76"/>
      <c r="R489" s="77"/>
      <c r="S489" s="50"/>
    </row>
    <row r="490" spans="1:19" s="2" customFormat="1" ht="22.5" customHeight="1" x14ac:dyDescent="0.25">
      <c r="A490" s="20"/>
      <c r="B490" s="129"/>
      <c r="C490" s="131" t="s">
        <v>48</v>
      </c>
      <c r="D490" s="99" t="s">
        <v>78</v>
      </c>
      <c r="E490" s="93">
        <v>301.55</v>
      </c>
      <c r="F490" s="94">
        <v>3.45</v>
      </c>
      <c r="G490" s="94">
        <f>E490*F490</f>
        <v>1040.3475000000001</v>
      </c>
      <c r="H490" s="94">
        <f>E490*45</f>
        <v>13569.75</v>
      </c>
      <c r="I490" s="94"/>
      <c r="J490" s="94"/>
      <c r="K490" s="94"/>
      <c r="L490" s="129"/>
      <c r="M490" s="129"/>
      <c r="N490" s="129"/>
      <c r="O490" s="129"/>
      <c r="P490" s="94">
        <v>165942.28</v>
      </c>
      <c r="Q490" s="73"/>
      <c r="R490" s="74"/>
      <c r="S490" s="47"/>
    </row>
    <row r="491" spans="1:19" s="2" customFormat="1" ht="39.75" customHeight="1" x14ac:dyDescent="0.25">
      <c r="A491" s="18"/>
      <c r="B491" s="122"/>
      <c r="C491" s="132" t="s">
        <v>48</v>
      </c>
      <c r="D491" s="100" t="s">
        <v>79</v>
      </c>
      <c r="E491" s="89">
        <f>SUM(E489:E490)</f>
        <v>25314.48</v>
      </c>
      <c r="F491" s="89"/>
      <c r="G491" s="87">
        <f t="shared" ref="G491:H491" si="159">SUM(G489:G490)</f>
        <v>83195.049700000018</v>
      </c>
      <c r="H491" s="87">
        <f t="shared" si="159"/>
        <v>658188.73999999987</v>
      </c>
      <c r="I491" s="87"/>
      <c r="J491" s="87"/>
      <c r="K491" s="87"/>
      <c r="L491" s="122"/>
      <c r="M491" s="122"/>
      <c r="N491" s="122"/>
      <c r="O491" s="122"/>
      <c r="P491" s="87">
        <f>P489+P490</f>
        <v>398838.85</v>
      </c>
      <c r="Q491" s="76"/>
      <c r="R491" s="77"/>
      <c r="S491" s="50"/>
    </row>
    <row r="492" spans="1:19" s="2" customFormat="1" ht="22.5" customHeight="1" x14ac:dyDescent="0.25">
      <c r="A492" s="20"/>
      <c r="B492" s="129"/>
      <c r="C492" s="131" t="s">
        <v>48</v>
      </c>
      <c r="D492" s="99" t="s">
        <v>82</v>
      </c>
      <c r="E492" s="93">
        <v>216.84</v>
      </c>
      <c r="F492" s="94">
        <v>3.45</v>
      </c>
      <c r="G492" s="94">
        <f>E492*F492</f>
        <v>748.09800000000007</v>
      </c>
      <c r="H492" s="94">
        <f>E492*57</f>
        <v>12359.880000000001</v>
      </c>
      <c r="I492" s="94"/>
      <c r="J492" s="94"/>
      <c r="K492" s="94"/>
      <c r="L492" s="129"/>
      <c r="M492" s="129"/>
      <c r="N492" s="129"/>
      <c r="O492" s="129"/>
      <c r="P492" s="94">
        <v>151956.35999999999</v>
      </c>
      <c r="Q492" s="73"/>
      <c r="R492" s="74"/>
      <c r="S492" s="47"/>
    </row>
    <row r="493" spans="1:19" s="2" customFormat="1" ht="39.75" customHeight="1" x14ac:dyDescent="0.25">
      <c r="A493" s="18"/>
      <c r="B493" s="122"/>
      <c r="C493" s="132" t="s">
        <v>48</v>
      </c>
      <c r="D493" s="100" t="s">
        <v>81</v>
      </c>
      <c r="E493" s="89">
        <f>SUM(E491:E492)</f>
        <v>25531.32</v>
      </c>
      <c r="F493" s="89"/>
      <c r="G493" s="87">
        <f t="shared" ref="G493:P493" si="160">SUM(G491:G492)</f>
        <v>83943.147700000016</v>
      </c>
      <c r="H493" s="87">
        <f t="shared" si="160"/>
        <v>670548.61999999988</v>
      </c>
      <c r="I493" s="87"/>
      <c r="J493" s="87"/>
      <c r="K493" s="87"/>
      <c r="L493" s="87"/>
      <c r="M493" s="87"/>
      <c r="N493" s="87"/>
      <c r="O493" s="87"/>
      <c r="P493" s="87">
        <f t="shared" si="160"/>
        <v>550795.21</v>
      </c>
      <c r="Q493" s="76"/>
      <c r="R493" s="77"/>
      <c r="S493" s="50"/>
    </row>
    <row r="494" spans="1:19" s="2" customFormat="1" ht="24.75" customHeight="1" x14ac:dyDescent="0.25">
      <c r="A494" s="20"/>
      <c r="B494" s="129"/>
      <c r="C494" s="131" t="s">
        <v>48</v>
      </c>
      <c r="D494" s="99" t="s">
        <v>84</v>
      </c>
      <c r="E494" s="93">
        <v>654.28</v>
      </c>
      <c r="F494" s="94">
        <v>3.45</v>
      </c>
      <c r="G494" s="94">
        <f>E494*F494</f>
        <v>2257.2660000000001</v>
      </c>
      <c r="H494" s="94">
        <f>E494*57</f>
        <v>37293.96</v>
      </c>
      <c r="I494" s="94"/>
      <c r="J494" s="94"/>
      <c r="K494" s="94"/>
      <c r="L494" s="94"/>
      <c r="M494" s="94"/>
      <c r="N494" s="94"/>
      <c r="O494" s="94"/>
      <c r="P494" s="94">
        <v>0</v>
      </c>
      <c r="Q494" s="73"/>
      <c r="R494" s="74"/>
      <c r="S494" s="47"/>
    </row>
    <row r="495" spans="1:19" s="2" customFormat="1" ht="39.75" customHeight="1" x14ac:dyDescent="0.25">
      <c r="A495" s="18"/>
      <c r="B495" s="122"/>
      <c r="C495" s="132" t="s">
        <v>48</v>
      </c>
      <c r="D495" s="100" t="s">
        <v>86</v>
      </c>
      <c r="E495" s="89">
        <f>SUM(E493:E494)</f>
        <v>26185.599999999999</v>
      </c>
      <c r="F495" s="89"/>
      <c r="G495" s="87">
        <f t="shared" ref="G495:P495" si="161">SUM(G493:G494)</f>
        <v>86200.413700000019</v>
      </c>
      <c r="H495" s="87">
        <f t="shared" si="161"/>
        <v>707842.57999999984</v>
      </c>
      <c r="I495" s="87"/>
      <c r="J495" s="87"/>
      <c r="K495" s="87"/>
      <c r="L495" s="87"/>
      <c r="M495" s="87"/>
      <c r="N495" s="87"/>
      <c r="O495" s="87"/>
      <c r="P495" s="87">
        <f t="shared" si="161"/>
        <v>550795.21</v>
      </c>
      <c r="Q495" s="76"/>
      <c r="R495" s="77"/>
      <c r="S495" s="50"/>
    </row>
    <row r="496" spans="1:19" s="2" customFormat="1" ht="24.75" customHeight="1" x14ac:dyDescent="0.25">
      <c r="A496" s="20"/>
      <c r="B496" s="129"/>
      <c r="C496" s="131" t="s">
        <v>48</v>
      </c>
      <c r="D496" s="99" t="s">
        <v>89</v>
      </c>
      <c r="E496" s="93">
        <v>1080.96</v>
      </c>
      <c r="F496" s="94">
        <v>3.45</v>
      </c>
      <c r="G496" s="94">
        <f>E496*F496</f>
        <v>3729.3120000000004</v>
      </c>
      <c r="H496" s="94">
        <f>E496*57</f>
        <v>61614.720000000001</v>
      </c>
      <c r="I496" s="94"/>
      <c r="J496" s="94"/>
      <c r="K496" s="94"/>
      <c r="L496" s="94"/>
      <c r="M496" s="94"/>
      <c r="N496" s="94"/>
      <c r="O496" s="94"/>
      <c r="P496" s="94">
        <v>0</v>
      </c>
      <c r="Q496" s="73"/>
      <c r="R496" s="74"/>
      <c r="S496" s="47"/>
    </row>
    <row r="497" spans="1:19" s="2" customFormat="1" ht="39.75" customHeight="1" x14ac:dyDescent="0.25">
      <c r="A497" s="18"/>
      <c r="B497" s="122"/>
      <c r="C497" s="132" t="s">
        <v>48</v>
      </c>
      <c r="D497" s="100" t="s">
        <v>90</v>
      </c>
      <c r="E497" s="89">
        <f>SUM(E495:E496)</f>
        <v>27266.559999999998</v>
      </c>
      <c r="F497" s="89"/>
      <c r="G497" s="87">
        <f t="shared" ref="G497:P497" si="162">SUM(G495:G496)</f>
        <v>89929.725700000025</v>
      </c>
      <c r="H497" s="87">
        <f t="shared" si="162"/>
        <v>769457.29999999981</v>
      </c>
      <c r="I497" s="87"/>
      <c r="J497" s="87"/>
      <c r="K497" s="87"/>
      <c r="L497" s="87"/>
      <c r="M497" s="87"/>
      <c r="N497" s="87"/>
      <c r="O497" s="87"/>
      <c r="P497" s="87">
        <f t="shared" si="162"/>
        <v>550795.21</v>
      </c>
      <c r="Q497" s="76"/>
      <c r="R497" s="77"/>
      <c r="S497" s="50"/>
    </row>
    <row r="498" spans="1:19" s="2" customFormat="1" ht="26.25" customHeight="1" x14ac:dyDescent="0.25">
      <c r="A498" s="20"/>
      <c r="B498" s="129"/>
      <c r="C498" s="131" t="s">
        <v>48</v>
      </c>
      <c r="D498" s="99" t="s">
        <v>93</v>
      </c>
      <c r="E498" s="93">
        <v>957.42</v>
      </c>
      <c r="F498" s="94">
        <v>3.45</v>
      </c>
      <c r="G498" s="94">
        <f>E498*F498</f>
        <v>3303.0990000000002</v>
      </c>
      <c r="H498" s="94">
        <f>E498*57</f>
        <v>54572.939999999995</v>
      </c>
      <c r="I498" s="94"/>
      <c r="J498" s="94"/>
      <c r="K498" s="94"/>
      <c r="L498" s="94"/>
      <c r="M498" s="94"/>
      <c r="N498" s="94"/>
      <c r="O498" s="94"/>
      <c r="P498" s="94">
        <v>0</v>
      </c>
      <c r="Q498" s="73"/>
      <c r="R498" s="74"/>
      <c r="S498" s="47"/>
    </row>
    <row r="499" spans="1:19" s="2" customFormat="1" ht="39.75" customHeight="1" x14ac:dyDescent="0.25">
      <c r="A499" s="18"/>
      <c r="B499" s="122"/>
      <c r="C499" s="132" t="s">
        <v>48</v>
      </c>
      <c r="D499" s="100" t="s">
        <v>94</v>
      </c>
      <c r="E499" s="89">
        <f>SUM(E497:E498)</f>
        <v>28223.979999999996</v>
      </c>
      <c r="F499" s="89"/>
      <c r="G499" s="87">
        <f t="shared" ref="G499:H499" si="163">SUM(G497:G498)</f>
        <v>93232.824700000026</v>
      </c>
      <c r="H499" s="87">
        <f t="shared" si="163"/>
        <v>824030.23999999976</v>
      </c>
      <c r="I499" s="87"/>
      <c r="J499" s="87"/>
      <c r="K499" s="87"/>
      <c r="L499" s="87"/>
      <c r="M499" s="87"/>
      <c r="N499" s="87"/>
      <c r="O499" s="87"/>
      <c r="P499" s="87">
        <v>550795.21</v>
      </c>
      <c r="Q499" s="76"/>
      <c r="R499" s="77"/>
      <c r="S499" s="50"/>
    </row>
    <row r="500" spans="1:19" s="2" customFormat="1" ht="91.5" customHeight="1" x14ac:dyDescent="0.25">
      <c r="A500" s="20"/>
      <c r="B500" s="129"/>
      <c r="C500" s="131" t="s">
        <v>48</v>
      </c>
      <c r="D500" s="99" t="s">
        <v>96</v>
      </c>
      <c r="E500" s="93">
        <v>796.04</v>
      </c>
      <c r="F500" s="94">
        <v>5.6</v>
      </c>
      <c r="G500" s="94">
        <f>E500*F500</f>
        <v>4457.8239999999996</v>
      </c>
      <c r="H500" s="94">
        <v>73017.56</v>
      </c>
      <c r="I500" s="94"/>
      <c r="J500" s="94"/>
      <c r="K500" s="94"/>
      <c r="L500" s="94"/>
      <c r="M500" s="94"/>
      <c r="N500" s="94"/>
      <c r="O500" s="94"/>
      <c r="P500" s="220" t="s">
        <v>116</v>
      </c>
      <c r="Q500" s="73"/>
      <c r="R500" s="74"/>
      <c r="S500" s="217" t="s">
        <v>101</v>
      </c>
    </row>
    <row r="501" spans="1:19" s="2" customFormat="1" ht="39.75" customHeight="1" x14ac:dyDescent="0.25">
      <c r="A501" s="18"/>
      <c r="B501" s="122"/>
      <c r="C501" s="132" t="s">
        <v>48</v>
      </c>
      <c r="D501" s="100" t="s">
        <v>97</v>
      </c>
      <c r="E501" s="89">
        <f>SUM(E499:E500)</f>
        <v>29020.019999999997</v>
      </c>
      <c r="F501" s="89"/>
      <c r="G501" s="87">
        <f>SUM(G499:G500)</f>
        <v>97690.64870000002</v>
      </c>
      <c r="H501" s="87">
        <f t="shared" ref="H501" si="164">SUM(H499:H500)</f>
        <v>897047.79999999981</v>
      </c>
      <c r="I501" s="87"/>
      <c r="J501" s="87"/>
      <c r="K501" s="87"/>
      <c r="L501" s="87"/>
      <c r="M501" s="87"/>
      <c r="N501" s="87"/>
      <c r="O501" s="87"/>
      <c r="P501" s="221" t="s">
        <v>117</v>
      </c>
      <c r="Q501" s="76"/>
      <c r="R501" s="77"/>
      <c r="S501" s="50"/>
    </row>
    <row r="502" spans="1:19" s="2" customFormat="1" ht="29.25" customHeight="1" x14ac:dyDescent="0.25">
      <c r="A502" s="20"/>
      <c r="B502" s="129"/>
      <c r="C502" s="131" t="s">
        <v>48</v>
      </c>
      <c r="D502" s="99" t="s">
        <v>119</v>
      </c>
      <c r="E502" s="93">
        <v>995.68</v>
      </c>
      <c r="F502" s="94">
        <v>5.6</v>
      </c>
      <c r="G502" s="94">
        <f>E502*F502</f>
        <v>5575.8079999999991</v>
      </c>
      <c r="H502" s="94">
        <f>E502*69</f>
        <v>68701.919999999998</v>
      </c>
      <c r="I502" s="94"/>
      <c r="J502" s="94"/>
      <c r="K502" s="94"/>
      <c r="L502" s="94"/>
      <c r="M502" s="94"/>
      <c r="N502" s="94"/>
      <c r="O502" s="94"/>
      <c r="P502" s="220" t="s">
        <v>125</v>
      </c>
      <c r="Q502" s="73"/>
      <c r="R502" s="74"/>
      <c r="S502" s="47"/>
    </row>
    <row r="503" spans="1:19" s="2" customFormat="1" ht="39.75" customHeight="1" x14ac:dyDescent="0.25">
      <c r="A503" s="18"/>
      <c r="B503" s="122"/>
      <c r="C503" s="132" t="s">
        <v>48</v>
      </c>
      <c r="D503" s="100" t="s">
        <v>120</v>
      </c>
      <c r="E503" s="89">
        <f>SUM(E501:E502)</f>
        <v>30015.699999999997</v>
      </c>
      <c r="F503" s="89"/>
      <c r="G503" s="87">
        <f t="shared" ref="G503:H503" si="165">SUM(G501:G502)</f>
        <v>103266.45670000002</v>
      </c>
      <c r="H503" s="87">
        <f t="shared" si="165"/>
        <v>965749.71999999986</v>
      </c>
      <c r="I503" s="87"/>
      <c r="J503" s="87"/>
      <c r="K503" s="87"/>
      <c r="L503" s="87"/>
      <c r="M503" s="87"/>
      <c r="N503" s="87"/>
      <c r="O503" s="87"/>
      <c r="P503" s="221" t="s">
        <v>137</v>
      </c>
      <c r="Q503" s="76"/>
      <c r="R503" s="77"/>
      <c r="S503" s="50"/>
    </row>
    <row r="504" spans="1:19" s="2" customFormat="1" ht="39.75" customHeight="1" x14ac:dyDescent="0.25">
      <c r="A504" s="20"/>
      <c r="B504" s="129"/>
      <c r="C504" s="131" t="s">
        <v>48</v>
      </c>
      <c r="D504" s="99" t="s">
        <v>139</v>
      </c>
      <c r="E504" s="93">
        <v>1034.68</v>
      </c>
      <c r="F504" s="94">
        <v>5.6</v>
      </c>
      <c r="G504" s="94">
        <f>SUM(E504*F504)</f>
        <v>5794.2079999999996</v>
      </c>
      <c r="H504" s="94">
        <f>SUM(E504*69)</f>
        <v>71392.92</v>
      </c>
      <c r="I504" s="94"/>
      <c r="J504" s="94"/>
      <c r="K504" s="94"/>
      <c r="L504" s="94"/>
      <c r="M504" s="94"/>
      <c r="N504" s="94"/>
      <c r="O504" s="94"/>
      <c r="P504" s="220">
        <v>0</v>
      </c>
      <c r="Q504" s="73"/>
      <c r="R504" s="74"/>
      <c r="S504" s="47"/>
    </row>
    <row r="505" spans="1:19" s="2" customFormat="1" ht="39.75" customHeight="1" x14ac:dyDescent="0.25">
      <c r="A505" s="18"/>
      <c r="B505" s="122"/>
      <c r="C505" s="132" t="s">
        <v>48</v>
      </c>
      <c r="D505" s="100" t="s">
        <v>140</v>
      </c>
      <c r="E505" s="89">
        <f>SUM(E503:E504)</f>
        <v>31050.379999999997</v>
      </c>
      <c r="F505" s="89"/>
      <c r="G505" s="87">
        <f t="shared" ref="G505:H505" si="166">SUM(G503:G504)</f>
        <v>109060.66470000002</v>
      </c>
      <c r="H505" s="87">
        <f t="shared" si="166"/>
        <v>1037142.6399999999</v>
      </c>
      <c r="I505" s="87"/>
      <c r="J505" s="87"/>
      <c r="K505" s="87"/>
      <c r="L505" s="87"/>
      <c r="M505" s="87"/>
      <c r="N505" s="87"/>
      <c r="O505" s="87"/>
      <c r="P505" s="221" t="s">
        <v>137</v>
      </c>
      <c r="Q505" s="76"/>
      <c r="R505" s="77"/>
      <c r="S505" s="50"/>
    </row>
    <row r="506" spans="1:19" s="2" customFormat="1" ht="39.75" customHeight="1" x14ac:dyDescent="0.25">
      <c r="A506" s="20"/>
      <c r="B506" s="129"/>
      <c r="C506" s="131" t="s">
        <v>48</v>
      </c>
      <c r="D506" s="99" t="s">
        <v>144</v>
      </c>
      <c r="E506" s="93">
        <v>955.58</v>
      </c>
      <c r="F506" s="94">
        <v>5.6</v>
      </c>
      <c r="G506" s="94">
        <f>SUM(E506*F506)</f>
        <v>5351.2479999999996</v>
      </c>
      <c r="H506" s="94">
        <f>SUM(E506*69)</f>
        <v>65935.02</v>
      </c>
      <c r="I506" s="180"/>
      <c r="K506" s="94"/>
      <c r="L506" s="94"/>
      <c r="M506" s="94"/>
      <c r="N506" s="94"/>
      <c r="O506" s="94"/>
      <c r="P506" s="220" t="s">
        <v>154</v>
      </c>
      <c r="Q506" s="73"/>
      <c r="R506" s="74"/>
      <c r="S506" s="47"/>
    </row>
    <row r="507" spans="1:19" s="2" customFormat="1" ht="39.75" customHeight="1" x14ac:dyDescent="0.25">
      <c r="A507" s="18"/>
      <c r="B507" s="122"/>
      <c r="C507" s="132" t="s">
        <v>48</v>
      </c>
      <c r="D507" s="100" t="s">
        <v>145</v>
      </c>
      <c r="E507" s="89">
        <f>SUM(E505:E506)</f>
        <v>32005.96</v>
      </c>
      <c r="F507" s="89"/>
      <c r="G507" s="87">
        <f>SUM(G505:G506)</f>
        <v>114411.91270000002</v>
      </c>
      <c r="H507" s="87">
        <f>SUM(H505:H506)</f>
        <v>1103077.6599999999</v>
      </c>
      <c r="I507" s="87"/>
      <c r="J507" s="87"/>
      <c r="K507" s="87"/>
      <c r="L507" s="87"/>
      <c r="M507" s="87"/>
      <c r="N507" s="87"/>
      <c r="O507" s="87"/>
      <c r="P507" s="221" t="s">
        <v>155</v>
      </c>
      <c r="Q507" s="76"/>
      <c r="R507" s="77"/>
      <c r="S507" s="50"/>
    </row>
    <row r="508" spans="1:19" s="2" customFormat="1" ht="39.75" customHeight="1" x14ac:dyDescent="0.25">
      <c r="A508" s="20"/>
      <c r="B508" s="129"/>
      <c r="C508" s="131" t="s">
        <v>48</v>
      </c>
      <c r="D508" s="99" t="s">
        <v>165</v>
      </c>
      <c r="E508" s="93">
        <v>804.18</v>
      </c>
      <c r="F508" s="94">
        <v>5.6</v>
      </c>
      <c r="G508" s="94">
        <f>E508*F508</f>
        <v>4503.4079999999994</v>
      </c>
      <c r="H508" s="94">
        <f>E508*82</f>
        <v>65942.759999999995</v>
      </c>
      <c r="I508" s="94"/>
      <c r="J508" s="94"/>
      <c r="K508" s="94"/>
      <c r="L508" s="94"/>
      <c r="M508" s="94"/>
      <c r="N508" s="94"/>
      <c r="O508" s="94"/>
      <c r="P508" s="220" t="s">
        <v>182</v>
      </c>
      <c r="Q508" s="73"/>
      <c r="R508" s="74"/>
      <c r="S508" s="47"/>
    </row>
    <row r="509" spans="1:19" s="2" customFormat="1" ht="39.75" customHeight="1" x14ac:dyDescent="0.25">
      <c r="A509" s="18"/>
      <c r="B509" s="122"/>
      <c r="C509" s="132" t="s">
        <v>48</v>
      </c>
      <c r="D509" s="100" t="s">
        <v>167</v>
      </c>
      <c r="E509" s="89">
        <f>SUM(E507:E508)</f>
        <v>32810.14</v>
      </c>
      <c r="F509" s="89"/>
      <c r="G509" s="87">
        <f t="shared" ref="G509:H509" si="167">SUM(G507:G508)</f>
        <v>118915.32070000001</v>
      </c>
      <c r="H509" s="87">
        <f t="shared" si="167"/>
        <v>1169020.42</v>
      </c>
      <c r="I509" s="87"/>
      <c r="J509" s="87"/>
      <c r="K509" s="87"/>
      <c r="L509" s="87"/>
      <c r="M509" s="87"/>
      <c r="N509" s="87"/>
      <c r="O509" s="87"/>
      <c r="P509" s="221" t="s">
        <v>183</v>
      </c>
      <c r="Q509" s="76"/>
      <c r="R509" s="77"/>
      <c r="S509" s="50"/>
    </row>
    <row r="510" spans="1:19" s="2" customFormat="1" ht="39.75" customHeight="1" x14ac:dyDescent="0.25">
      <c r="A510" s="20"/>
      <c r="B510" s="129"/>
      <c r="C510" s="131" t="s">
        <v>48</v>
      </c>
      <c r="D510" s="99" t="s">
        <v>166</v>
      </c>
      <c r="E510" s="93">
        <v>1097.8399999999999</v>
      </c>
      <c r="F510" s="94">
        <v>5.6</v>
      </c>
      <c r="G510" s="94">
        <f>391.66*5.6</f>
        <v>2193.2959999999998</v>
      </c>
      <c r="H510" s="94">
        <f>391.66*82</f>
        <v>32116.120000000003</v>
      </c>
      <c r="I510" s="94">
        <f>706.18*5.6</f>
        <v>3954.6079999999993</v>
      </c>
      <c r="J510" s="94">
        <f>706.18*82</f>
        <v>57906.759999999995</v>
      </c>
      <c r="K510" s="94"/>
      <c r="L510" s="94"/>
      <c r="M510" s="94"/>
      <c r="N510" s="94"/>
      <c r="O510" s="94"/>
      <c r="P510" s="220">
        <v>0</v>
      </c>
      <c r="Q510" s="73"/>
      <c r="R510" s="74"/>
      <c r="S510" s="47"/>
    </row>
    <row r="511" spans="1:19" s="2" customFormat="1" ht="39.75" customHeight="1" x14ac:dyDescent="0.25">
      <c r="A511" s="18"/>
      <c r="B511" s="122"/>
      <c r="C511" s="132" t="s">
        <v>48</v>
      </c>
      <c r="D511" s="100" t="s">
        <v>168</v>
      </c>
      <c r="E511" s="89">
        <f>SUM(E509:E510)</f>
        <v>33907.979999999996</v>
      </c>
      <c r="F511" s="89"/>
      <c r="G511" s="87">
        <f t="shared" ref="G511:J511" si="168">SUM(G509:G510)</f>
        <v>121108.61670000001</v>
      </c>
      <c r="H511" s="87">
        <f t="shared" si="168"/>
        <v>1201136.54</v>
      </c>
      <c r="I511" s="87">
        <f t="shared" si="168"/>
        <v>3954.6079999999993</v>
      </c>
      <c r="J511" s="87">
        <f t="shared" si="168"/>
        <v>57906.759999999995</v>
      </c>
      <c r="K511" s="87"/>
      <c r="L511" s="87"/>
      <c r="M511" s="87"/>
      <c r="N511" s="87"/>
      <c r="O511" s="87"/>
      <c r="P511" s="221" t="s">
        <v>183</v>
      </c>
      <c r="Q511" s="76"/>
      <c r="R511" s="77"/>
      <c r="S511" s="50"/>
    </row>
    <row r="512" spans="1:19" s="236" customFormat="1" ht="39.75" customHeight="1" x14ac:dyDescent="0.25">
      <c r="A512" s="230"/>
      <c r="B512" s="237"/>
      <c r="C512" s="131" t="s">
        <v>48</v>
      </c>
      <c r="D512" s="99" t="s">
        <v>195</v>
      </c>
      <c r="E512" s="231">
        <v>1067.06</v>
      </c>
      <c r="F512" s="94">
        <v>5.6</v>
      </c>
      <c r="G512" s="94">
        <f>706.18*5.6</f>
        <v>3954.6079999999993</v>
      </c>
      <c r="H512" s="94">
        <f>706.18*82</f>
        <v>57906.759999999995</v>
      </c>
      <c r="I512" s="232">
        <f>E512*5.6</f>
        <v>5975.5359999999991</v>
      </c>
      <c r="J512" s="232">
        <f>E512*82</f>
        <v>87498.92</v>
      </c>
      <c r="K512" s="232"/>
      <c r="L512" s="232"/>
      <c r="M512" s="232"/>
      <c r="N512" s="232"/>
      <c r="O512" s="232"/>
      <c r="P512" s="220">
        <v>0</v>
      </c>
      <c r="Q512" s="247"/>
      <c r="R512" s="248"/>
      <c r="S512" s="235"/>
    </row>
    <row r="513" spans="1:19" s="2" customFormat="1" ht="39.75" customHeight="1" x14ac:dyDescent="0.25">
      <c r="A513" s="18"/>
      <c r="B513" s="122"/>
      <c r="C513" s="132" t="s">
        <v>48</v>
      </c>
      <c r="D513" s="100" t="s">
        <v>196</v>
      </c>
      <c r="E513" s="89">
        <f>SUM(E511:E512)</f>
        <v>34975.039999999994</v>
      </c>
      <c r="F513" s="89"/>
      <c r="G513" s="87">
        <f>SUM(G511:G512)</f>
        <v>125063.22470000001</v>
      </c>
      <c r="H513" s="87">
        <f>SUM(H511:H512)</f>
        <v>1259043.3</v>
      </c>
      <c r="I513" s="87">
        <v>5975.54</v>
      </c>
      <c r="J513" s="87">
        <v>87498.92</v>
      </c>
      <c r="K513" s="87"/>
      <c r="L513" s="87"/>
      <c r="M513" s="87"/>
      <c r="N513" s="87"/>
      <c r="O513" s="87"/>
      <c r="P513" s="221" t="s">
        <v>183</v>
      </c>
      <c r="Q513" s="76"/>
      <c r="R513" s="77"/>
      <c r="S513" s="50"/>
    </row>
    <row r="514" spans="1:19" s="236" customFormat="1" ht="39.75" customHeight="1" x14ac:dyDescent="0.25">
      <c r="A514" s="230"/>
      <c r="B514" s="237"/>
      <c r="C514" s="131" t="s">
        <v>48</v>
      </c>
      <c r="D514" s="99" t="s">
        <v>201</v>
      </c>
      <c r="E514" s="231">
        <v>949.18</v>
      </c>
      <c r="F514" s="94">
        <v>5.6</v>
      </c>
      <c r="G514" s="232">
        <f>1393.22*5.6</f>
        <v>7802.0319999999992</v>
      </c>
      <c r="H514" s="232">
        <f>1393.22*82</f>
        <v>114244.04000000001</v>
      </c>
      <c r="I514" s="232">
        <f>623.02*5.6</f>
        <v>3488.9119999999998</v>
      </c>
      <c r="J514" s="232">
        <f>623.02*82</f>
        <v>51087.64</v>
      </c>
      <c r="K514" s="232"/>
      <c r="L514" s="232"/>
      <c r="M514" s="232"/>
      <c r="N514" s="232"/>
      <c r="O514" s="232"/>
      <c r="P514" s="233" t="s">
        <v>205</v>
      </c>
      <c r="Q514" s="247"/>
      <c r="R514" s="248"/>
      <c r="S514" s="235"/>
    </row>
    <row r="515" spans="1:19" s="2" customFormat="1" ht="39.75" customHeight="1" x14ac:dyDescent="0.25">
      <c r="A515" s="18"/>
      <c r="B515" s="122"/>
      <c r="C515" s="132" t="s">
        <v>48</v>
      </c>
      <c r="D515" s="100" t="s">
        <v>202</v>
      </c>
      <c r="E515" s="89">
        <f>SUM(E513:E514)</f>
        <v>35924.219999999994</v>
      </c>
      <c r="F515" s="89"/>
      <c r="G515" s="87">
        <f>SUM(G513:G514)</f>
        <v>132865.2567</v>
      </c>
      <c r="H515" s="87">
        <f>SUM(H513:H514)</f>
        <v>1373287.34</v>
      </c>
      <c r="I515" s="87">
        <v>3488.91</v>
      </c>
      <c r="J515" s="87">
        <v>51087.64</v>
      </c>
      <c r="K515" s="87"/>
      <c r="L515" s="87"/>
      <c r="M515" s="87"/>
      <c r="N515" s="87"/>
      <c r="O515" s="87"/>
      <c r="P515" s="221" t="s">
        <v>206</v>
      </c>
      <c r="Q515" s="76"/>
      <c r="R515" s="77"/>
      <c r="S515" s="50"/>
    </row>
    <row r="516" spans="1:19" s="236" customFormat="1" ht="39.75" customHeight="1" x14ac:dyDescent="0.25">
      <c r="A516" s="230"/>
      <c r="B516" s="237"/>
      <c r="C516" s="131" t="s">
        <v>48</v>
      </c>
      <c r="D516" s="99" t="s">
        <v>208</v>
      </c>
      <c r="E516" s="231">
        <v>751.76</v>
      </c>
      <c r="F516" s="231"/>
      <c r="G516" s="232"/>
      <c r="H516" s="232"/>
      <c r="I516" s="232">
        <f>751.76*5.6</f>
        <v>4209.8559999999998</v>
      </c>
      <c r="J516" s="232">
        <f>751.76*95</f>
        <v>71417.2</v>
      </c>
      <c r="K516" s="232"/>
      <c r="L516" s="232"/>
      <c r="M516" s="232"/>
      <c r="N516" s="232"/>
      <c r="O516" s="232"/>
      <c r="P516" s="233"/>
      <c r="Q516" s="247"/>
      <c r="R516" s="248"/>
      <c r="S516" s="235"/>
    </row>
    <row r="517" spans="1:19" s="2" customFormat="1" ht="39.75" customHeight="1" x14ac:dyDescent="0.25">
      <c r="A517" s="18"/>
      <c r="B517" s="122"/>
      <c r="C517" s="132" t="s">
        <v>48</v>
      </c>
      <c r="D517" s="100" t="s">
        <v>209</v>
      </c>
      <c r="E517" s="89">
        <f>SUM(E515:E516)</f>
        <v>36675.979999999996</v>
      </c>
      <c r="F517" s="89"/>
      <c r="G517" s="87">
        <f>SUM(G515:G516)</f>
        <v>132865.2567</v>
      </c>
      <c r="H517" s="87">
        <f>SUM(H515:H516)</f>
        <v>1373287.34</v>
      </c>
      <c r="I517" s="87">
        <f>SUM(I515:I516)</f>
        <v>7698.7659999999996</v>
      </c>
      <c r="J517" s="87">
        <f>SUM(J515:J516)</f>
        <v>122504.84</v>
      </c>
      <c r="K517" s="87"/>
      <c r="L517" s="87"/>
      <c r="M517" s="87"/>
      <c r="N517" s="87"/>
      <c r="O517" s="87"/>
      <c r="P517" s="221" t="s">
        <v>206</v>
      </c>
      <c r="Q517" s="76"/>
      <c r="R517" s="77"/>
      <c r="S517" s="50"/>
    </row>
    <row r="518" spans="1:19" s="236" customFormat="1" ht="39.75" customHeight="1" x14ac:dyDescent="0.25">
      <c r="A518" s="230"/>
      <c r="B518" s="237"/>
      <c r="C518" s="131" t="s">
        <v>48</v>
      </c>
      <c r="D518" s="99" t="s">
        <v>216</v>
      </c>
      <c r="E518" s="231">
        <v>1076.02</v>
      </c>
      <c r="F518" s="231"/>
      <c r="G518" s="232">
        <f>1104.56*5.6</f>
        <v>6185.5359999999991</v>
      </c>
      <c r="H518" s="232">
        <f>51087.64+481.54*95</f>
        <v>96833.94</v>
      </c>
      <c r="I518" s="232">
        <f>1346.24*5.6</f>
        <v>7538.9439999999995</v>
      </c>
      <c r="J518" s="232">
        <f>1346.24*95</f>
        <v>127892.8</v>
      </c>
      <c r="K518" s="232"/>
      <c r="L518" s="232"/>
      <c r="M518" s="232"/>
      <c r="N518" s="232"/>
      <c r="O518" s="232"/>
      <c r="P518" s="233"/>
      <c r="Q518" s="247"/>
      <c r="R518" s="248"/>
      <c r="S518" s="235"/>
    </row>
    <row r="519" spans="1:19" s="2" customFormat="1" ht="39.75" customHeight="1" x14ac:dyDescent="0.25">
      <c r="A519" s="18"/>
      <c r="B519" s="122"/>
      <c r="C519" s="132" t="s">
        <v>48</v>
      </c>
      <c r="D519" s="100" t="s">
        <v>217</v>
      </c>
      <c r="E519" s="89">
        <f>SUM(E517:E518)</f>
        <v>37751.999999999993</v>
      </c>
      <c r="F519" s="89"/>
      <c r="G519" s="87">
        <f>SUM(G517:G518)</f>
        <v>139050.79269999999</v>
      </c>
      <c r="H519" s="87">
        <f>SUM(H517:H518)</f>
        <v>1470121.28</v>
      </c>
      <c r="I519" s="87">
        <v>7538.94</v>
      </c>
      <c r="J519" s="87">
        <v>127892.8</v>
      </c>
      <c r="K519" s="87"/>
      <c r="L519" s="87"/>
      <c r="M519" s="87"/>
      <c r="N519" s="87"/>
      <c r="O519" s="87"/>
      <c r="P519" s="221" t="s">
        <v>206</v>
      </c>
      <c r="Q519" s="76"/>
      <c r="R519" s="77"/>
      <c r="S519" s="50"/>
    </row>
    <row r="520" spans="1:19" x14ac:dyDescent="0.25">
      <c r="A520" s="23"/>
      <c r="B520" s="23"/>
      <c r="C520" s="23"/>
      <c r="D520" s="36"/>
      <c r="E520" s="53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72"/>
      <c r="S520" s="55"/>
    </row>
    <row r="521" spans="1:19" ht="27" customHeight="1" x14ac:dyDescent="0.25">
      <c r="A521" s="16"/>
      <c r="B521" s="115" t="s">
        <v>40</v>
      </c>
      <c r="C521" s="136" t="s">
        <v>49</v>
      </c>
      <c r="D521" s="160">
        <v>2011</v>
      </c>
      <c r="E521" s="161">
        <v>127.12</v>
      </c>
      <c r="F521" s="141">
        <v>3.18</v>
      </c>
      <c r="G521" s="94">
        <f>E521*F521</f>
        <v>404.24160000000006</v>
      </c>
      <c r="H521" s="94">
        <v>381.36</v>
      </c>
      <c r="I521" s="84"/>
      <c r="J521" s="84"/>
      <c r="K521" s="84"/>
      <c r="L521" s="119"/>
      <c r="M521" s="119"/>
      <c r="N521" s="119"/>
      <c r="O521" s="119"/>
      <c r="P521" s="84">
        <v>0</v>
      </c>
      <c r="Q521" s="38"/>
      <c r="R521" s="75"/>
      <c r="S521" s="51"/>
    </row>
    <row r="522" spans="1:19" ht="34.5" customHeight="1" x14ac:dyDescent="0.25">
      <c r="A522" s="16"/>
      <c r="B522" s="119"/>
      <c r="C522" s="136" t="s">
        <v>49</v>
      </c>
      <c r="D522" s="160">
        <v>2012</v>
      </c>
      <c r="E522" s="161">
        <v>492.1</v>
      </c>
      <c r="F522" s="141">
        <v>3.18</v>
      </c>
      <c r="G522" s="94">
        <f>E522*F522</f>
        <v>1564.8780000000002</v>
      </c>
      <c r="H522" s="94">
        <v>4428.8999999999996</v>
      </c>
      <c r="I522" s="84"/>
      <c r="J522" s="84"/>
      <c r="K522" s="84"/>
      <c r="L522" s="119"/>
      <c r="M522" s="119"/>
      <c r="N522" s="119"/>
      <c r="O522" s="119"/>
      <c r="P522" s="84">
        <v>0</v>
      </c>
      <c r="Q522" s="38"/>
      <c r="R522" s="75"/>
      <c r="S522" s="51"/>
    </row>
    <row r="523" spans="1:19" ht="39.75" customHeight="1" x14ac:dyDescent="0.25">
      <c r="A523" s="18"/>
      <c r="B523" s="122"/>
      <c r="C523" s="132" t="s">
        <v>49</v>
      </c>
      <c r="D523" s="96" t="s">
        <v>25</v>
      </c>
      <c r="E523" s="89">
        <f>SUM(E521:E522)</f>
        <v>619.22</v>
      </c>
      <c r="F523" s="89"/>
      <c r="G523" s="87">
        <f t="shared" ref="G523:H523" si="169">SUM(G521:G522)</f>
        <v>1969.1196000000002</v>
      </c>
      <c r="H523" s="87">
        <f t="shared" si="169"/>
        <v>4810.2599999999993</v>
      </c>
      <c r="I523" s="87"/>
      <c r="J523" s="87"/>
      <c r="K523" s="87"/>
      <c r="L523" s="122"/>
      <c r="M523" s="122"/>
      <c r="N523" s="122"/>
      <c r="O523" s="122"/>
      <c r="P523" s="87">
        <v>0</v>
      </c>
      <c r="Q523" s="76"/>
      <c r="R523" s="77"/>
      <c r="S523" s="50"/>
    </row>
    <row r="524" spans="1:19" ht="25.5" x14ac:dyDescent="0.25">
      <c r="A524" s="16"/>
      <c r="B524" s="119"/>
      <c r="C524" s="136" t="s">
        <v>49</v>
      </c>
      <c r="D524" s="160">
        <v>2013</v>
      </c>
      <c r="E524" s="161">
        <v>657.83600000000001</v>
      </c>
      <c r="F524" s="141">
        <v>3.18</v>
      </c>
      <c r="G524" s="94">
        <f>E524*F524</f>
        <v>2091.9184800000003</v>
      </c>
      <c r="H524" s="94">
        <v>9867.5400000000009</v>
      </c>
      <c r="I524" s="84"/>
      <c r="J524" s="84"/>
      <c r="K524" s="84"/>
      <c r="L524" s="119"/>
      <c r="M524" s="119"/>
      <c r="N524" s="119"/>
      <c r="O524" s="119"/>
      <c r="P524" s="94">
        <v>0</v>
      </c>
      <c r="Q524" s="38"/>
      <c r="R524" s="75"/>
      <c r="S524" s="51"/>
    </row>
    <row r="525" spans="1:19" ht="38.25" customHeight="1" x14ac:dyDescent="0.25">
      <c r="A525" s="18"/>
      <c r="B525" s="122"/>
      <c r="C525" s="132" t="s">
        <v>49</v>
      </c>
      <c r="D525" s="96" t="s">
        <v>38</v>
      </c>
      <c r="E525" s="89">
        <f>SUM(E523:E524)</f>
        <v>1277.056</v>
      </c>
      <c r="F525" s="89"/>
      <c r="G525" s="87">
        <f t="shared" ref="G525:H525" si="170">SUM(G523:G524)</f>
        <v>4061.0380800000003</v>
      </c>
      <c r="H525" s="87">
        <f t="shared" si="170"/>
        <v>14677.8</v>
      </c>
      <c r="I525" s="87"/>
      <c r="J525" s="87"/>
      <c r="K525" s="87"/>
      <c r="L525" s="122"/>
      <c r="M525" s="122"/>
      <c r="N525" s="122"/>
      <c r="O525" s="122"/>
      <c r="P525" s="87">
        <v>0</v>
      </c>
      <c r="Q525" s="76"/>
      <c r="R525" s="77"/>
      <c r="S525" s="50"/>
    </row>
    <row r="526" spans="1:19" ht="25.5" x14ac:dyDescent="0.25">
      <c r="A526" s="16"/>
      <c r="B526" s="119"/>
      <c r="C526" s="136" t="s">
        <v>49</v>
      </c>
      <c r="D526" s="160">
        <v>2014</v>
      </c>
      <c r="E526" s="161">
        <v>704.02</v>
      </c>
      <c r="F526" s="141">
        <v>3.18</v>
      </c>
      <c r="G526" s="94">
        <f>E526*F526</f>
        <v>2238.7836000000002</v>
      </c>
      <c r="H526" s="94">
        <v>15488.44</v>
      </c>
      <c r="I526" s="84"/>
      <c r="J526" s="84"/>
      <c r="K526" s="84"/>
      <c r="L526" s="119"/>
      <c r="M526" s="119"/>
      <c r="N526" s="119"/>
      <c r="O526" s="119"/>
      <c r="P526" s="94">
        <v>0</v>
      </c>
      <c r="Q526" s="38"/>
      <c r="R526" s="75"/>
      <c r="S526" s="51"/>
    </row>
    <row r="527" spans="1:19" ht="36" customHeight="1" x14ac:dyDescent="0.25">
      <c r="A527" s="18"/>
      <c r="B527" s="122"/>
      <c r="C527" s="132" t="s">
        <v>49</v>
      </c>
      <c r="D527" s="96" t="s">
        <v>24</v>
      </c>
      <c r="E527" s="89">
        <f>SUM(E525:E526)</f>
        <v>1981.076</v>
      </c>
      <c r="F527" s="89"/>
      <c r="G527" s="87">
        <f t="shared" ref="G527:H527" si="171">SUM(G525:G526)</f>
        <v>6299.8216800000009</v>
      </c>
      <c r="H527" s="87">
        <f t="shared" si="171"/>
        <v>30166.239999999998</v>
      </c>
      <c r="I527" s="87"/>
      <c r="J527" s="87"/>
      <c r="K527" s="87"/>
      <c r="L527" s="122"/>
      <c r="M527" s="122"/>
      <c r="N527" s="122"/>
      <c r="O527" s="122"/>
      <c r="P527" s="87">
        <v>0</v>
      </c>
      <c r="Q527" s="76"/>
      <c r="R527" s="77"/>
      <c r="S527" s="50"/>
    </row>
    <row r="528" spans="1:19" ht="25.5" x14ac:dyDescent="0.25">
      <c r="A528" s="16"/>
      <c r="B528" s="119"/>
      <c r="C528" s="136" t="s">
        <v>49</v>
      </c>
      <c r="D528" s="160">
        <v>2015</v>
      </c>
      <c r="E528" s="161">
        <v>773.8</v>
      </c>
      <c r="F528" s="141">
        <v>3.37</v>
      </c>
      <c r="G528" s="94">
        <f>E528*F528</f>
        <v>2607.7060000000001</v>
      </c>
      <c r="H528" s="94">
        <v>21666.400000000001</v>
      </c>
      <c r="I528" s="84"/>
      <c r="J528" s="84"/>
      <c r="K528" s="84"/>
      <c r="L528" s="119"/>
      <c r="M528" s="119"/>
      <c r="N528" s="119"/>
      <c r="O528" s="119"/>
      <c r="P528" s="94">
        <v>0</v>
      </c>
      <c r="Q528" s="38"/>
      <c r="R528" s="75"/>
      <c r="S528" s="51"/>
    </row>
    <row r="529" spans="1:19" ht="38.25" customHeight="1" x14ac:dyDescent="0.25">
      <c r="A529" s="18"/>
      <c r="B529" s="122"/>
      <c r="C529" s="132" t="s">
        <v>49</v>
      </c>
      <c r="D529" s="96" t="s">
        <v>26</v>
      </c>
      <c r="E529" s="89">
        <f>SUM(E527:E528)</f>
        <v>2754.8760000000002</v>
      </c>
      <c r="F529" s="89"/>
      <c r="G529" s="87">
        <f t="shared" ref="G529:H529" si="172">SUM(G527:G528)</f>
        <v>8907.5276800000011</v>
      </c>
      <c r="H529" s="87">
        <f t="shared" si="172"/>
        <v>51832.639999999999</v>
      </c>
      <c r="I529" s="87"/>
      <c r="J529" s="87"/>
      <c r="K529" s="87"/>
      <c r="L529" s="122"/>
      <c r="M529" s="122"/>
      <c r="N529" s="122"/>
      <c r="O529" s="122"/>
      <c r="P529" s="87">
        <v>0</v>
      </c>
      <c r="Q529" s="76"/>
      <c r="R529" s="77"/>
      <c r="S529" s="50"/>
    </row>
    <row r="530" spans="1:19" ht="25.5" x14ac:dyDescent="0.25">
      <c r="A530" s="16"/>
      <c r="B530" s="119"/>
      <c r="C530" s="136" t="s">
        <v>49</v>
      </c>
      <c r="D530" s="99" t="s">
        <v>29</v>
      </c>
      <c r="E530" s="137">
        <v>164.42</v>
      </c>
      <c r="F530" s="141">
        <v>3.37</v>
      </c>
      <c r="G530" s="94">
        <f>E530*F530</f>
        <v>554.09539999999993</v>
      </c>
      <c r="H530" s="94">
        <v>5919.12</v>
      </c>
      <c r="I530" s="84"/>
      <c r="J530" s="84"/>
      <c r="K530" s="84"/>
      <c r="L530" s="119"/>
      <c r="M530" s="119"/>
      <c r="N530" s="119"/>
      <c r="O530" s="119"/>
      <c r="P530" s="94">
        <v>0</v>
      </c>
      <c r="Q530" s="38"/>
      <c r="R530" s="75"/>
      <c r="S530" s="51"/>
    </row>
    <row r="531" spans="1:19" ht="38.25" x14ac:dyDescent="0.25">
      <c r="A531" s="18"/>
      <c r="B531" s="122"/>
      <c r="C531" s="132" t="s">
        <v>49</v>
      </c>
      <c r="D531" s="100" t="s">
        <v>30</v>
      </c>
      <c r="E531" s="89">
        <f>SUM(E529:E530)</f>
        <v>2919.2960000000003</v>
      </c>
      <c r="F531" s="89"/>
      <c r="G531" s="87">
        <f t="shared" ref="G531:H531" si="173">SUM(G529:G530)</f>
        <v>9461.6230800000012</v>
      </c>
      <c r="H531" s="87">
        <f t="shared" si="173"/>
        <v>57751.76</v>
      </c>
      <c r="I531" s="87"/>
      <c r="J531" s="87"/>
      <c r="K531" s="87"/>
      <c r="L531" s="122"/>
      <c r="M531" s="122"/>
      <c r="N531" s="122"/>
      <c r="O531" s="122"/>
      <c r="P531" s="87">
        <v>0</v>
      </c>
      <c r="Q531" s="76"/>
      <c r="R531" s="77"/>
      <c r="S531" s="50"/>
    </row>
    <row r="532" spans="1:19" ht="25.5" x14ac:dyDescent="0.25">
      <c r="A532" s="16"/>
      <c r="B532" s="119"/>
      <c r="C532" s="136" t="s">
        <v>49</v>
      </c>
      <c r="D532" s="99" t="s">
        <v>31</v>
      </c>
      <c r="E532" s="137">
        <v>214.72</v>
      </c>
      <c r="F532" s="141">
        <v>3.37</v>
      </c>
      <c r="G532" s="94">
        <f>E532*F532</f>
        <v>723.60640000000001</v>
      </c>
      <c r="H532" s="94">
        <v>7729.92</v>
      </c>
      <c r="I532" s="84"/>
      <c r="J532" s="84"/>
      <c r="K532" s="84"/>
      <c r="L532" s="119"/>
      <c r="M532" s="119"/>
      <c r="N532" s="119"/>
      <c r="O532" s="119"/>
      <c r="P532" s="94">
        <v>0</v>
      </c>
      <c r="Q532" s="38"/>
      <c r="R532" s="75"/>
      <c r="S532" s="51"/>
    </row>
    <row r="533" spans="1:19" ht="38.25" x14ac:dyDescent="0.25">
      <c r="A533" s="16"/>
      <c r="B533" s="119"/>
      <c r="C533" s="136" t="s">
        <v>68</v>
      </c>
      <c r="D533" s="99"/>
      <c r="E533" s="137">
        <v>10.36</v>
      </c>
      <c r="F533" s="84">
        <v>0</v>
      </c>
      <c r="G533" s="94">
        <v>0</v>
      </c>
      <c r="H533" s="94">
        <v>0</v>
      </c>
      <c r="I533" s="84"/>
      <c r="J533" s="84"/>
      <c r="K533" s="84"/>
      <c r="L533" s="119"/>
      <c r="M533" s="119"/>
      <c r="N533" s="119"/>
      <c r="O533" s="119"/>
      <c r="P533" s="94"/>
      <c r="Q533" s="38"/>
      <c r="R533" s="75"/>
      <c r="S533" s="51"/>
    </row>
    <row r="534" spans="1:19" ht="39" customHeight="1" x14ac:dyDescent="0.25">
      <c r="A534" s="18"/>
      <c r="B534" s="122"/>
      <c r="C534" s="132" t="s">
        <v>49</v>
      </c>
      <c r="D534" s="100" t="s">
        <v>32</v>
      </c>
      <c r="E534" s="89">
        <f>SUM(E531:E533)</f>
        <v>3144.3760000000002</v>
      </c>
      <c r="F534" s="89"/>
      <c r="G534" s="87">
        <f t="shared" ref="G534:H534" si="174">SUM(G531:G533)</f>
        <v>10185.229480000002</v>
      </c>
      <c r="H534" s="87">
        <f t="shared" si="174"/>
        <v>65481.68</v>
      </c>
      <c r="I534" s="87"/>
      <c r="J534" s="87"/>
      <c r="K534" s="87"/>
      <c r="L534" s="122"/>
      <c r="M534" s="122"/>
      <c r="N534" s="122"/>
      <c r="O534" s="122"/>
      <c r="P534" s="87">
        <v>0</v>
      </c>
      <c r="Q534" s="76"/>
      <c r="R534" s="77"/>
      <c r="S534" s="50"/>
    </row>
    <row r="535" spans="1:19" ht="25.5" x14ac:dyDescent="0.25">
      <c r="A535" s="16"/>
      <c r="B535" s="119"/>
      <c r="C535" s="136" t="s">
        <v>49</v>
      </c>
      <c r="D535" s="99" t="s">
        <v>33</v>
      </c>
      <c r="E535" s="137">
        <v>226.66</v>
      </c>
      <c r="F535" s="141">
        <v>3.37</v>
      </c>
      <c r="G535" s="94">
        <f>E535*F535</f>
        <v>763.8442</v>
      </c>
      <c r="H535" s="94">
        <v>8159.76</v>
      </c>
      <c r="I535" s="84"/>
      <c r="J535" s="84"/>
      <c r="K535" s="84"/>
      <c r="L535" s="119"/>
      <c r="M535" s="119"/>
      <c r="N535" s="119"/>
      <c r="O535" s="119"/>
      <c r="P535" s="94">
        <v>0</v>
      </c>
      <c r="Q535" s="38"/>
      <c r="R535" s="75"/>
      <c r="S535" s="51"/>
    </row>
    <row r="536" spans="1:19" ht="38.25" x14ac:dyDescent="0.25">
      <c r="A536" s="18"/>
      <c r="B536" s="122"/>
      <c r="C536" s="132" t="s">
        <v>49</v>
      </c>
      <c r="D536" s="100" t="s">
        <v>35</v>
      </c>
      <c r="E536" s="89">
        <f>SUM(E534:E535)</f>
        <v>3371.0360000000001</v>
      </c>
      <c r="F536" s="89"/>
      <c r="G536" s="87">
        <f t="shared" ref="G536:H536" si="175">SUM(G534:G535)</f>
        <v>10949.073680000001</v>
      </c>
      <c r="H536" s="87">
        <f t="shared" si="175"/>
        <v>73641.440000000002</v>
      </c>
      <c r="I536" s="87"/>
      <c r="J536" s="87"/>
      <c r="K536" s="87"/>
      <c r="L536" s="122"/>
      <c r="M536" s="122"/>
      <c r="N536" s="122"/>
      <c r="O536" s="122"/>
      <c r="P536" s="87">
        <v>0</v>
      </c>
      <c r="Q536" s="76"/>
      <c r="R536" s="77"/>
      <c r="S536" s="50"/>
    </row>
    <row r="537" spans="1:19" ht="25.5" x14ac:dyDescent="0.25">
      <c r="A537" s="16"/>
      <c r="B537" s="119"/>
      <c r="C537" s="136" t="s">
        <v>49</v>
      </c>
      <c r="D537" s="99" t="s">
        <v>34</v>
      </c>
      <c r="E537" s="137">
        <v>202.8</v>
      </c>
      <c r="F537" s="141">
        <v>3.37</v>
      </c>
      <c r="G537" s="94">
        <f>E537*F537</f>
        <v>683.43600000000004</v>
      </c>
      <c r="H537" s="94">
        <v>7300.8</v>
      </c>
      <c r="I537" s="84"/>
      <c r="J537" s="84"/>
      <c r="K537" s="84"/>
      <c r="L537" s="119"/>
      <c r="M537" s="119"/>
      <c r="N537" s="119"/>
      <c r="O537" s="119"/>
      <c r="P537" s="84">
        <v>15360</v>
      </c>
      <c r="Q537" s="38"/>
      <c r="R537" s="75"/>
      <c r="S537" s="51"/>
    </row>
    <row r="538" spans="1:19" ht="38.25" x14ac:dyDescent="0.25">
      <c r="A538" s="18"/>
      <c r="B538" s="122"/>
      <c r="C538" s="132" t="s">
        <v>49</v>
      </c>
      <c r="D538" s="100" t="s">
        <v>36</v>
      </c>
      <c r="E538" s="89">
        <f>SUM(E536:E537)</f>
        <v>3573.8360000000002</v>
      </c>
      <c r="F538" s="89"/>
      <c r="G538" s="87">
        <f t="shared" ref="G538:H538" si="176">SUM(G536:G537)</f>
        <v>11632.509680000001</v>
      </c>
      <c r="H538" s="87">
        <f t="shared" si="176"/>
        <v>80942.240000000005</v>
      </c>
      <c r="I538" s="87"/>
      <c r="J538" s="87"/>
      <c r="K538" s="87"/>
      <c r="L538" s="122"/>
      <c r="M538" s="122"/>
      <c r="N538" s="122"/>
      <c r="O538" s="122"/>
      <c r="P538" s="87">
        <v>15360</v>
      </c>
      <c r="Q538" s="76"/>
      <c r="R538" s="77"/>
      <c r="S538" s="50"/>
    </row>
    <row r="539" spans="1:19" s="2" customFormat="1" ht="25.5" x14ac:dyDescent="0.25">
      <c r="A539" s="20"/>
      <c r="B539" s="129"/>
      <c r="C539" s="136" t="s">
        <v>49</v>
      </c>
      <c r="D539" s="99" t="s">
        <v>57</v>
      </c>
      <c r="E539" s="93">
        <v>170.86</v>
      </c>
      <c r="F539" s="94">
        <v>3.37</v>
      </c>
      <c r="G539" s="94">
        <f>E539*F539</f>
        <v>575.79820000000007</v>
      </c>
      <c r="H539" s="94">
        <v>6834.4</v>
      </c>
      <c r="I539" s="94"/>
      <c r="J539" s="94"/>
      <c r="K539" s="94"/>
      <c r="L539" s="129"/>
      <c r="M539" s="129"/>
      <c r="N539" s="129"/>
      <c r="O539" s="129"/>
      <c r="P539" s="94">
        <v>0</v>
      </c>
      <c r="Q539" s="73"/>
      <c r="R539" s="74"/>
      <c r="S539" s="47"/>
    </row>
    <row r="540" spans="1:19" s="2" customFormat="1" ht="43.5" customHeight="1" x14ac:dyDescent="0.25">
      <c r="A540" s="18"/>
      <c r="B540" s="122"/>
      <c r="C540" s="132" t="s">
        <v>49</v>
      </c>
      <c r="D540" s="100" t="s">
        <v>58</v>
      </c>
      <c r="E540" s="89">
        <f>SUM(E538:E539)</f>
        <v>3744.6960000000004</v>
      </c>
      <c r="F540" s="89"/>
      <c r="G540" s="87">
        <f t="shared" ref="G540:H540" si="177">SUM(G538:G539)</f>
        <v>12208.30788</v>
      </c>
      <c r="H540" s="87">
        <f t="shared" si="177"/>
        <v>87776.639999999999</v>
      </c>
      <c r="I540" s="87"/>
      <c r="J540" s="87"/>
      <c r="K540" s="87"/>
      <c r="L540" s="122"/>
      <c r="M540" s="122"/>
      <c r="N540" s="122"/>
      <c r="O540" s="122"/>
      <c r="P540" s="87">
        <v>15360</v>
      </c>
      <c r="Q540" s="76"/>
      <c r="R540" s="77"/>
      <c r="S540" s="50"/>
    </row>
    <row r="541" spans="1:19" s="2" customFormat="1" ht="25.5" x14ac:dyDescent="0.25">
      <c r="A541" s="20"/>
      <c r="B541" s="129"/>
      <c r="C541" s="136" t="s">
        <v>49</v>
      </c>
      <c r="D541" s="99" t="s">
        <v>61</v>
      </c>
      <c r="E541" s="93">
        <v>219.16</v>
      </c>
      <c r="F541" s="94">
        <v>3.37</v>
      </c>
      <c r="G541" s="94">
        <f>E541*F541</f>
        <v>738.56920000000002</v>
      </c>
      <c r="H541" s="94">
        <v>8766.4</v>
      </c>
      <c r="I541" s="94"/>
      <c r="J541" s="94"/>
      <c r="K541" s="94"/>
      <c r="L541" s="129"/>
      <c r="M541" s="129"/>
      <c r="N541" s="129"/>
      <c r="O541" s="129"/>
      <c r="P541" s="94">
        <v>23370.71</v>
      </c>
      <c r="Q541" s="73"/>
      <c r="R541" s="74"/>
      <c r="S541" s="47"/>
    </row>
    <row r="542" spans="1:19" s="2" customFormat="1" ht="39.75" customHeight="1" x14ac:dyDescent="0.25">
      <c r="A542" s="18"/>
      <c r="B542" s="122"/>
      <c r="C542" s="132" t="s">
        <v>49</v>
      </c>
      <c r="D542" s="100" t="s">
        <v>63</v>
      </c>
      <c r="E542" s="89">
        <f>SUM(E540:E541)</f>
        <v>3963.8560000000002</v>
      </c>
      <c r="F542" s="89"/>
      <c r="G542" s="87">
        <f t="shared" ref="G542:H542" si="178">SUM(G540:G541)</f>
        <v>12946.87708</v>
      </c>
      <c r="H542" s="87">
        <f t="shared" si="178"/>
        <v>96543.039999999994</v>
      </c>
      <c r="I542" s="87"/>
      <c r="J542" s="87"/>
      <c r="K542" s="87"/>
      <c r="L542" s="122"/>
      <c r="M542" s="122"/>
      <c r="N542" s="122"/>
      <c r="O542" s="122"/>
      <c r="P542" s="87">
        <f>SUM(P540:P541)</f>
        <v>38730.71</v>
      </c>
      <c r="Q542" s="76"/>
      <c r="R542" s="77"/>
      <c r="S542" s="50"/>
    </row>
    <row r="543" spans="1:19" s="2" customFormat="1" ht="26.25" customHeight="1" x14ac:dyDescent="0.25">
      <c r="A543" s="20"/>
      <c r="B543" s="129"/>
      <c r="C543" s="131" t="s">
        <v>49</v>
      </c>
      <c r="D543" s="99" t="s">
        <v>64</v>
      </c>
      <c r="E543" s="93">
        <v>265.82</v>
      </c>
      <c r="F543" s="94">
        <v>3.37</v>
      </c>
      <c r="G543" s="94">
        <f>E543*F543</f>
        <v>895.8134</v>
      </c>
      <c r="H543" s="94">
        <v>10632.8</v>
      </c>
      <c r="I543" s="94"/>
      <c r="J543" s="94"/>
      <c r="K543" s="94"/>
      <c r="L543" s="129"/>
      <c r="M543" s="129"/>
      <c r="N543" s="129"/>
      <c r="O543" s="129"/>
      <c r="P543" s="94">
        <v>0</v>
      </c>
      <c r="Q543" s="73"/>
      <c r="R543" s="74"/>
      <c r="S543" s="47"/>
    </row>
    <row r="544" spans="1:19" s="2" customFormat="1" ht="39" customHeight="1" x14ac:dyDescent="0.25">
      <c r="A544" s="20"/>
      <c r="B544" s="129"/>
      <c r="C544" s="131" t="s">
        <v>68</v>
      </c>
      <c r="D544" s="104"/>
      <c r="E544" s="93">
        <v>2.78</v>
      </c>
      <c r="F544" s="94">
        <v>0</v>
      </c>
      <c r="G544" s="94">
        <v>0</v>
      </c>
      <c r="H544" s="94">
        <v>0</v>
      </c>
      <c r="I544" s="94"/>
      <c r="J544" s="94"/>
      <c r="K544" s="94"/>
      <c r="L544" s="129"/>
      <c r="M544" s="129"/>
      <c r="N544" s="129"/>
      <c r="O544" s="129"/>
      <c r="P544" s="94"/>
      <c r="Q544" s="73"/>
      <c r="R544" s="74"/>
      <c r="S544" s="47"/>
    </row>
    <row r="545" spans="1:19" s="2" customFormat="1" ht="39.75" customHeight="1" x14ac:dyDescent="0.25">
      <c r="A545" s="18"/>
      <c r="B545" s="122"/>
      <c r="C545" s="132" t="s">
        <v>49</v>
      </c>
      <c r="D545" s="100" t="s">
        <v>65</v>
      </c>
      <c r="E545" s="89">
        <f>SUM(E542:E544)</f>
        <v>4232.4560000000001</v>
      </c>
      <c r="F545" s="89"/>
      <c r="G545" s="87">
        <f t="shared" ref="G545:H545" si="179">SUM(G542:G544)</f>
        <v>13842.690480000001</v>
      </c>
      <c r="H545" s="87">
        <f t="shared" si="179"/>
        <v>107175.84</v>
      </c>
      <c r="I545" s="87"/>
      <c r="J545" s="87"/>
      <c r="K545" s="87"/>
      <c r="L545" s="122"/>
      <c r="M545" s="122"/>
      <c r="N545" s="122"/>
      <c r="O545" s="122"/>
      <c r="P545" s="87">
        <v>38730.71</v>
      </c>
      <c r="Q545" s="76"/>
      <c r="R545" s="77"/>
      <c r="S545" s="50"/>
    </row>
    <row r="546" spans="1:19" s="2" customFormat="1" ht="27" customHeight="1" x14ac:dyDescent="0.25">
      <c r="A546" s="20"/>
      <c r="B546" s="129"/>
      <c r="C546" s="136" t="s">
        <v>49</v>
      </c>
      <c r="D546" s="99" t="s">
        <v>70</v>
      </c>
      <c r="E546" s="93">
        <v>128.94</v>
      </c>
      <c r="F546" s="94">
        <v>3.37</v>
      </c>
      <c r="G546" s="94">
        <v>434.52780000000001</v>
      </c>
      <c r="H546" s="94">
        <v>5157.6000000000004</v>
      </c>
      <c r="I546" s="94"/>
      <c r="J546" s="94"/>
      <c r="K546" s="94"/>
      <c r="L546" s="129"/>
      <c r="M546" s="129"/>
      <c r="N546" s="129"/>
      <c r="O546" s="129"/>
      <c r="P546" s="94">
        <v>0</v>
      </c>
      <c r="Q546" s="73"/>
      <c r="R546" s="74"/>
      <c r="S546" s="47"/>
    </row>
    <row r="547" spans="1:19" s="2" customFormat="1" ht="39.75" customHeight="1" x14ac:dyDescent="0.25">
      <c r="A547" s="18"/>
      <c r="B547" s="122"/>
      <c r="C547" s="132" t="s">
        <v>49</v>
      </c>
      <c r="D547" s="100" t="s">
        <v>69</v>
      </c>
      <c r="E547" s="89">
        <f>SUM(E545:E546)</f>
        <v>4361.3959999999997</v>
      </c>
      <c r="F547" s="89"/>
      <c r="G547" s="87">
        <f t="shared" ref="G547:H547" si="180">SUM(G545:G546)</f>
        <v>14277.218280000001</v>
      </c>
      <c r="H547" s="87">
        <f t="shared" si="180"/>
        <v>112333.44</v>
      </c>
      <c r="I547" s="87"/>
      <c r="J547" s="87"/>
      <c r="K547" s="87"/>
      <c r="L547" s="122"/>
      <c r="M547" s="122"/>
      <c r="N547" s="122"/>
      <c r="O547" s="122"/>
      <c r="P547" s="87">
        <v>38730.71</v>
      </c>
      <c r="Q547" s="76"/>
      <c r="R547" s="77"/>
      <c r="S547" s="50"/>
    </row>
    <row r="548" spans="1:19" s="2" customFormat="1" ht="30" customHeight="1" x14ac:dyDescent="0.25">
      <c r="A548" s="20"/>
      <c r="B548" s="129"/>
      <c r="C548" s="131" t="s">
        <v>49</v>
      </c>
      <c r="D548" s="99" t="s">
        <v>71</v>
      </c>
      <c r="E548" s="93">
        <v>172.72</v>
      </c>
      <c r="F548" s="94">
        <v>3.45</v>
      </c>
      <c r="G548" s="94">
        <v>595.88400000000001</v>
      </c>
      <c r="H548" s="94">
        <v>7772.4</v>
      </c>
      <c r="I548" s="94"/>
      <c r="J548" s="94"/>
      <c r="K548" s="94"/>
      <c r="L548" s="129"/>
      <c r="M548" s="129"/>
      <c r="N548" s="129"/>
      <c r="O548" s="129"/>
      <c r="P548" s="94">
        <v>0</v>
      </c>
      <c r="Q548" s="73"/>
      <c r="R548" s="74"/>
      <c r="S548" s="47"/>
    </row>
    <row r="549" spans="1:19" s="2" customFormat="1" ht="39.75" customHeight="1" x14ac:dyDescent="0.25">
      <c r="A549" s="18"/>
      <c r="B549" s="122"/>
      <c r="C549" s="132" t="s">
        <v>49</v>
      </c>
      <c r="D549" s="100" t="s">
        <v>72</v>
      </c>
      <c r="E549" s="89">
        <f>SUM(E547:E548)</f>
        <v>4534.116</v>
      </c>
      <c r="F549" s="89"/>
      <c r="G549" s="87">
        <f t="shared" ref="G549:H549" si="181">SUM(G547:G548)</f>
        <v>14873.102280000001</v>
      </c>
      <c r="H549" s="87">
        <f t="shared" si="181"/>
        <v>120105.84</v>
      </c>
      <c r="I549" s="87"/>
      <c r="J549" s="87"/>
      <c r="K549" s="87"/>
      <c r="L549" s="122"/>
      <c r="M549" s="122"/>
      <c r="N549" s="122"/>
      <c r="O549" s="122"/>
      <c r="P549" s="87">
        <v>38730.71</v>
      </c>
      <c r="Q549" s="76"/>
      <c r="R549" s="77"/>
      <c r="S549" s="50"/>
    </row>
    <row r="550" spans="1:19" s="2" customFormat="1" ht="27.75" customHeight="1" x14ac:dyDescent="0.25">
      <c r="A550" s="20"/>
      <c r="B550" s="129"/>
      <c r="C550" s="131" t="s">
        <v>49</v>
      </c>
      <c r="D550" s="99" t="s">
        <v>73</v>
      </c>
      <c r="E550" s="93">
        <v>258.83999999999997</v>
      </c>
      <c r="F550" s="94">
        <v>3.45</v>
      </c>
      <c r="G550" s="94">
        <f>E550*F550</f>
        <v>892.99799999999993</v>
      </c>
      <c r="H550" s="94">
        <f>E550*45</f>
        <v>11647.8</v>
      </c>
      <c r="I550" s="94"/>
      <c r="J550" s="94"/>
      <c r="K550" s="94"/>
      <c r="L550" s="129"/>
      <c r="M550" s="129"/>
      <c r="N550" s="129"/>
      <c r="O550" s="129"/>
      <c r="P550" s="94">
        <v>0</v>
      </c>
      <c r="Q550" s="73"/>
      <c r="R550" s="74"/>
      <c r="S550" s="47"/>
    </row>
    <row r="551" spans="1:19" s="2" customFormat="1" ht="39.75" customHeight="1" x14ac:dyDescent="0.25">
      <c r="A551" s="18"/>
      <c r="B551" s="122"/>
      <c r="C551" s="132" t="s">
        <v>49</v>
      </c>
      <c r="D551" s="100" t="s">
        <v>74</v>
      </c>
      <c r="E551" s="89">
        <f>SUM(E549:E550)</f>
        <v>4792.9560000000001</v>
      </c>
      <c r="F551" s="89"/>
      <c r="G551" s="87">
        <f t="shared" ref="G551:H551" si="182">SUM(G549:G550)</f>
        <v>15766.100280000001</v>
      </c>
      <c r="H551" s="87">
        <f t="shared" si="182"/>
        <v>131753.63999999998</v>
      </c>
      <c r="I551" s="87"/>
      <c r="J551" s="87"/>
      <c r="K551" s="87"/>
      <c r="L551" s="87"/>
      <c r="M551" s="122"/>
      <c r="N551" s="122"/>
      <c r="O551" s="122"/>
      <c r="P551" s="87">
        <v>38730.71</v>
      </c>
      <c r="Q551" s="76"/>
      <c r="R551" s="77"/>
      <c r="S551" s="50"/>
    </row>
    <row r="552" spans="1:19" s="2" customFormat="1" ht="30.75" customHeight="1" x14ac:dyDescent="0.25">
      <c r="A552" s="20"/>
      <c r="B552" s="129"/>
      <c r="C552" s="131" t="s">
        <v>49</v>
      </c>
      <c r="D552" s="99" t="s">
        <v>76</v>
      </c>
      <c r="E552" s="93">
        <v>240.86</v>
      </c>
      <c r="F552" s="94">
        <v>3.45</v>
      </c>
      <c r="G552" s="94">
        <f>E552*F552</f>
        <v>830.9670000000001</v>
      </c>
      <c r="H552" s="94">
        <f>E552*45</f>
        <v>10838.7</v>
      </c>
      <c r="I552" s="94"/>
      <c r="J552" s="94"/>
      <c r="K552" s="94"/>
      <c r="L552" s="94"/>
      <c r="M552" s="129"/>
      <c r="N552" s="129"/>
      <c r="O552" s="129"/>
      <c r="P552" s="94">
        <v>0</v>
      </c>
      <c r="Q552" s="73"/>
      <c r="R552" s="74"/>
      <c r="S552" s="47"/>
    </row>
    <row r="553" spans="1:19" s="2" customFormat="1" ht="39.75" customHeight="1" x14ac:dyDescent="0.25">
      <c r="A553" s="20"/>
      <c r="B553" s="129"/>
      <c r="C553" s="131" t="s">
        <v>68</v>
      </c>
      <c r="D553" s="104"/>
      <c r="E553" s="93">
        <v>9.4</v>
      </c>
      <c r="F553" s="94">
        <v>0</v>
      </c>
      <c r="G553" s="94">
        <v>0</v>
      </c>
      <c r="H553" s="94">
        <v>0</v>
      </c>
      <c r="I553" s="94"/>
      <c r="J553" s="94"/>
      <c r="K553" s="94"/>
      <c r="L553" s="94"/>
      <c r="M553" s="129"/>
      <c r="N553" s="129"/>
      <c r="O553" s="129"/>
      <c r="P553" s="94"/>
      <c r="Q553" s="73"/>
      <c r="R553" s="74"/>
      <c r="S553" s="47"/>
    </row>
    <row r="554" spans="1:19" s="2" customFormat="1" ht="39.75" customHeight="1" x14ac:dyDescent="0.25">
      <c r="A554" s="18"/>
      <c r="B554" s="122"/>
      <c r="C554" s="132" t="s">
        <v>49</v>
      </c>
      <c r="D554" s="100" t="s">
        <v>77</v>
      </c>
      <c r="E554" s="89">
        <f>SUM(E551:E553)</f>
        <v>5043.2159999999994</v>
      </c>
      <c r="F554" s="89"/>
      <c r="G554" s="87">
        <f>SUM(G551:G553)</f>
        <v>16597.067279999999</v>
      </c>
      <c r="H554" s="87">
        <f>SUM(H551:H553)</f>
        <v>142592.34</v>
      </c>
      <c r="I554" s="87"/>
      <c r="J554" s="87"/>
      <c r="K554" s="87"/>
      <c r="L554" s="87"/>
      <c r="M554" s="122"/>
      <c r="N554" s="122"/>
      <c r="O554" s="122"/>
      <c r="P554" s="87">
        <v>38730.71</v>
      </c>
      <c r="Q554" s="76"/>
      <c r="R554" s="77"/>
      <c r="S554" s="50"/>
    </row>
    <row r="555" spans="1:19" s="2" customFormat="1" ht="29.25" customHeight="1" x14ac:dyDescent="0.25">
      <c r="A555" s="20"/>
      <c r="B555" s="129"/>
      <c r="C555" s="131" t="s">
        <v>49</v>
      </c>
      <c r="D555" s="99" t="s">
        <v>78</v>
      </c>
      <c r="E555" s="93">
        <v>68.739999999999995</v>
      </c>
      <c r="F555" s="94">
        <v>3.45</v>
      </c>
      <c r="G555" s="94">
        <f>E555*F555</f>
        <v>237.15299999999999</v>
      </c>
      <c r="H555" s="94">
        <f>E555*45</f>
        <v>3093.2999999999997</v>
      </c>
      <c r="I555" s="94"/>
      <c r="J555" s="94"/>
      <c r="K555" s="94"/>
      <c r="L555" s="94"/>
      <c r="M555" s="129"/>
      <c r="N555" s="129"/>
      <c r="O555" s="129"/>
      <c r="P555" s="94">
        <v>18722.68</v>
      </c>
      <c r="Q555" s="73"/>
      <c r="R555" s="74"/>
      <c r="S555" s="47"/>
    </row>
    <row r="556" spans="1:19" s="2" customFormat="1" ht="39.75" customHeight="1" x14ac:dyDescent="0.25">
      <c r="A556" s="18"/>
      <c r="B556" s="122"/>
      <c r="C556" s="132" t="s">
        <v>49</v>
      </c>
      <c r="D556" s="100" t="s">
        <v>79</v>
      </c>
      <c r="E556" s="89">
        <f>SUM(E554:E555)</f>
        <v>5111.9559999999992</v>
      </c>
      <c r="F556" s="89"/>
      <c r="G556" s="87">
        <f t="shared" ref="G556:H556" si="183">SUM(G554:G555)</f>
        <v>16834.220279999998</v>
      </c>
      <c r="H556" s="87">
        <f t="shared" si="183"/>
        <v>145685.63999999998</v>
      </c>
      <c r="I556" s="87"/>
      <c r="J556" s="87"/>
      <c r="K556" s="87"/>
      <c r="L556" s="87"/>
      <c r="M556" s="122"/>
      <c r="N556" s="122"/>
      <c r="O556" s="122"/>
      <c r="P556" s="87">
        <f>P554+P555</f>
        <v>57453.39</v>
      </c>
      <c r="Q556" s="76"/>
      <c r="R556" s="77"/>
      <c r="S556" s="50"/>
    </row>
    <row r="557" spans="1:19" s="2" customFormat="1" ht="26.25" customHeight="1" x14ac:dyDescent="0.25">
      <c r="A557" s="20"/>
      <c r="B557" s="129"/>
      <c r="C557" s="131" t="s">
        <v>49</v>
      </c>
      <c r="D557" s="99" t="s">
        <v>82</v>
      </c>
      <c r="E557" s="93">
        <v>73.319999999999993</v>
      </c>
      <c r="F557" s="94">
        <v>3.45</v>
      </c>
      <c r="G557" s="94">
        <f>E557*F557</f>
        <v>252.95399999999998</v>
      </c>
      <c r="H557" s="94">
        <f>E557*57</f>
        <v>4179.24</v>
      </c>
      <c r="I557" s="94"/>
      <c r="J557" s="94"/>
      <c r="K557" s="94"/>
      <c r="L557" s="94"/>
      <c r="M557" s="129"/>
      <c r="N557" s="129"/>
      <c r="O557" s="129"/>
      <c r="P557" s="94">
        <v>65650.820000000007</v>
      </c>
      <c r="Q557" s="73"/>
      <c r="R557" s="74"/>
      <c r="S557" s="47"/>
    </row>
    <row r="558" spans="1:19" s="2" customFormat="1" ht="39.75" customHeight="1" x14ac:dyDescent="0.25">
      <c r="A558" s="18"/>
      <c r="B558" s="122"/>
      <c r="C558" s="132" t="s">
        <v>49</v>
      </c>
      <c r="D558" s="100" t="s">
        <v>81</v>
      </c>
      <c r="E558" s="89">
        <f>SUM(E556:E557)</f>
        <v>5185.2759999999989</v>
      </c>
      <c r="F558" s="89"/>
      <c r="G558" s="87">
        <f t="shared" ref="G558:P558" si="184">SUM(G556:G557)</f>
        <v>17087.174279999999</v>
      </c>
      <c r="H558" s="87">
        <f t="shared" si="184"/>
        <v>149864.87999999998</v>
      </c>
      <c r="I558" s="87"/>
      <c r="J558" s="87"/>
      <c r="K558" s="87"/>
      <c r="L558" s="87"/>
      <c r="M558" s="87"/>
      <c r="N558" s="87"/>
      <c r="O558" s="87"/>
      <c r="P558" s="87">
        <f t="shared" si="184"/>
        <v>123104.21</v>
      </c>
      <c r="Q558" s="76"/>
      <c r="R558" s="77"/>
      <c r="S558" s="50"/>
    </row>
    <row r="559" spans="1:19" s="2" customFormat="1" ht="25.5" customHeight="1" x14ac:dyDescent="0.25">
      <c r="A559" s="20"/>
      <c r="B559" s="129"/>
      <c r="C559" s="131" t="s">
        <v>49</v>
      </c>
      <c r="D559" s="99" t="s">
        <v>84</v>
      </c>
      <c r="E559" s="93">
        <v>163.78</v>
      </c>
      <c r="F559" s="94">
        <v>3.45</v>
      </c>
      <c r="G559" s="94">
        <f>E559*F559</f>
        <v>565.04100000000005</v>
      </c>
      <c r="H559" s="94">
        <f>E559*57</f>
        <v>9335.4600000000009</v>
      </c>
      <c r="I559" s="94"/>
      <c r="J559" s="94"/>
      <c r="K559" s="94"/>
      <c r="L559" s="94"/>
      <c r="M559" s="94"/>
      <c r="N559" s="94"/>
      <c r="O559" s="94"/>
      <c r="P559" s="94">
        <v>0</v>
      </c>
      <c r="Q559" s="73"/>
      <c r="R559" s="74"/>
      <c r="S559" s="47"/>
    </row>
    <row r="560" spans="1:19" s="2" customFormat="1" ht="39.75" customHeight="1" x14ac:dyDescent="0.25">
      <c r="A560" s="18"/>
      <c r="B560" s="122"/>
      <c r="C560" s="132" t="s">
        <v>49</v>
      </c>
      <c r="D560" s="100" t="s">
        <v>86</v>
      </c>
      <c r="E560" s="89">
        <f>SUM(E558:E559)</f>
        <v>5349.0559999999987</v>
      </c>
      <c r="F560" s="89"/>
      <c r="G560" s="87">
        <f t="shared" ref="G560:P560" si="185">SUM(G558:G559)</f>
        <v>17652.21528</v>
      </c>
      <c r="H560" s="87">
        <f t="shared" si="185"/>
        <v>159200.33999999997</v>
      </c>
      <c r="I560" s="87"/>
      <c r="J560" s="87"/>
      <c r="K560" s="87"/>
      <c r="L560" s="87"/>
      <c r="M560" s="87"/>
      <c r="N560" s="87"/>
      <c r="O560" s="87"/>
      <c r="P560" s="87">
        <f t="shared" si="185"/>
        <v>123104.21</v>
      </c>
      <c r="Q560" s="76"/>
      <c r="R560" s="77"/>
      <c r="S560" s="50"/>
    </row>
    <row r="561" spans="1:19" s="2" customFormat="1" ht="28.5" customHeight="1" x14ac:dyDescent="0.25">
      <c r="A561" s="20"/>
      <c r="B561" s="129"/>
      <c r="C561" s="131" t="s">
        <v>49</v>
      </c>
      <c r="D561" s="99" t="s">
        <v>89</v>
      </c>
      <c r="E561" s="93">
        <v>282.06</v>
      </c>
      <c r="F561" s="94">
        <v>3.45</v>
      </c>
      <c r="G561" s="94">
        <f>E561*F561</f>
        <v>973.10700000000008</v>
      </c>
      <c r="H561" s="94">
        <f>E561*57</f>
        <v>16077.42</v>
      </c>
      <c r="I561" s="94"/>
      <c r="J561" s="94"/>
      <c r="K561" s="94"/>
      <c r="L561" s="94"/>
      <c r="M561" s="94"/>
      <c r="N561" s="94"/>
      <c r="O561" s="94"/>
      <c r="P561" s="94">
        <v>0</v>
      </c>
      <c r="Q561" s="73"/>
      <c r="R561" s="74"/>
      <c r="S561" s="47"/>
    </row>
    <row r="562" spans="1:19" s="2" customFormat="1" ht="39.75" customHeight="1" x14ac:dyDescent="0.25">
      <c r="A562" s="20"/>
      <c r="B562" s="129"/>
      <c r="C562" s="131" t="s">
        <v>68</v>
      </c>
      <c r="D562" s="104"/>
      <c r="E562" s="93">
        <v>3.08</v>
      </c>
      <c r="F562" s="93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73"/>
      <c r="R562" s="74"/>
      <c r="S562" s="47"/>
    </row>
    <row r="563" spans="1:19" s="2" customFormat="1" ht="39.75" customHeight="1" x14ac:dyDescent="0.25">
      <c r="A563" s="18"/>
      <c r="B563" s="122"/>
      <c r="C563" s="132" t="s">
        <v>49</v>
      </c>
      <c r="D563" s="100" t="s">
        <v>90</v>
      </c>
      <c r="E563" s="89">
        <f>SUM(E560:E562)</f>
        <v>5634.195999999999</v>
      </c>
      <c r="F563" s="89"/>
      <c r="G563" s="87">
        <f t="shared" ref="G563:P563" si="186">SUM(G560:G562)</f>
        <v>18625.32228</v>
      </c>
      <c r="H563" s="87">
        <f t="shared" si="186"/>
        <v>175277.75999999998</v>
      </c>
      <c r="I563" s="87"/>
      <c r="J563" s="87"/>
      <c r="K563" s="87"/>
      <c r="L563" s="87"/>
      <c r="M563" s="87"/>
      <c r="N563" s="87"/>
      <c r="O563" s="87"/>
      <c r="P563" s="87">
        <f t="shared" si="186"/>
        <v>123104.21</v>
      </c>
      <c r="Q563" s="76"/>
      <c r="R563" s="77"/>
      <c r="S563" s="50"/>
    </row>
    <row r="564" spans="1:19" s="2" customFormat="1" ht="31.5" customHeight="1" x14ac:dyDescent="0.25">
      <c r="A564" s="20"/>
      <c r="B564" s="129"/>
      <c r="C564" s="131" t="s">
        <v>49</v>
      </c>
      <c r="D564" s="99" t="s">
        <v>93</v>
      </c>
      <c r="E564" s="93">
        <v>227.34</v>
      </c>
      <c r="F564" s="94">
        <v>3.45</v>
      </c>
      <c r="G564" s="94">
        <f>E564*F564</f>
        <v>784.32300000000009</v>
      </c>
      <c r="H564" s="94">
        <f>E564*57</f>
        <v>12958.380000000001</v>
      </c>
      <c r="I564" s="94"/>
      <c r="J564" s="94"/>
      <c r="K564" s="94"/>
      <c r="L564" s="94"/>
      <c r="M564" s="94"/>
      <c r="N564" s="94"/>
      <c r="O564" s="94"/>
      <c r="P564" s="94">
        <v>0</v>
      </c>
      <c r="Q564" s="73"/>
      <c r="R564" s="74"/>
      <c r="S564" s="47"/>
    </row>
    <row r="565" spans="1:19" s="2" customFormat="1" ht="39.75" customHeight="1" x14ac:dyDescent="0.25">
      <c r="A565" s="18"/>
      <c r="B565" s="122"/>
      <c r="C565" s="132" t="s">
        <v>49</v>
      </c>
      <c r="D565" s="100" t="s">
        <v>94</v>
      </c>
      <c r="E565" s="89">
        <f>SUM(E563:E564)</f>
        <v>5861.5359999999991</v>
      </c>
      <c r="F565" s="89"/>
      <c r="G565" s="87">
        <f t="shared" ref="G565:H565" si="187">SUM(G563:G564)</f>
        <v>19409.645280000001</v>
      </c>
      <c r="H565" s="87">
        <f t="shared" si="187"/>
        <v>188236.13999999998</v>
      </c>
      <c r="I565" s="87"/>
      <c r="J565" s="87"/>
      <c r="K565" s="87"/>
      <c r="L565" s="87"/>
      <c r="M565" s="87"/>
      <c r="N565" s="87"/>
      <c r="O565" s="87"/>
      <c r="P565" s="87">
        <v>123104.21</v>
      </c>
      <c r="Q565" s="76"/>
      <c r="R565" s="77"/>
      <c r="S565" s="50"/>
    </row>
    <row r="566" spans="1:19" s="2" customFormat="1" ht="92.25" customHeight="1" x14ac:dyDescent="0.25">
      <c r="A566" s="20"/>
      <c r="B566" s="129"/>
      <c r="C566" s="131" t="s">
        <v>49</v>
      </c>
      <c r="D566" s="99" t="s">
        <v>96</v>
      </c>
      <c r="E566" s="93">
        <v>198.82</v>
      </c>
      <c r="F566" s="94">
        <v>5.6</v>
      </c>
      <c r="G566" s="94">
        <f>E566*F566</f>
        <v>1113.3919999999998</v>
      </c>
      <c r="H566" s="94">
        <v>18239.46</v>
      </c>
      <c r="I566" s="94"/>
      <c r="J566" s="94"/>
      <c r="K566" s="94"/>
      <c r="L566" s="94"/>
      <c r="M566" s="94"/>
      <c r="N566" s="94"/>
      <c r="O566" s="94"/>
      <c r="P566" s="220" t="s">
        <v>126</v>
      </c>
      <c r="Q566" s="73"/>
      <c r="R566" s="74"/>
      <c r="S566" s="217" t="s">
        <v>100</v>
      </c>
    </row>
    <row r="567" spans="1:19" s="2" customFormat="1" ht="42.75" customHeight="1" x14ac:dyDescent="0.25">
      <c r="A567" s="18"/>
      <c r="B567" s="122"/>
      <c r="C567" s="132" t="s">
        <v>49</v>
      </c>
      <c r="D567" s="100" t="s">
        <v>97</v>
      </c>
      <c r="E567" s="89">
        <f>SUM(E565:E566)</f>
        <v>6060.3559999999989</v>
      </c>
      <c r="F567" s="89"/>
      <c r="G567" s="87">
        <f t="shared" ref="G567:H567" si="188">SUM(G565:G566)</f>
        <v>20523.03728</v>
      </c>
      <c r="H567" s="87">
        <f t="shared" si="188"/>
        <v>206475.59999999998</v>
      </c>
      <c r="I567" s="87"/>
      <c r="J567" s="87"/>
      <c r="K567" s="87"/>
      <c r="L567" s="87"/>
      <c r="M567" s="87"/>
      <c r="N567" s="87"/>
      <c r="O567" s="87"/>
      <c r="P567" s="221" t="s">
        <v>127</v>
      </c>
      <c r="Q567" s="76"/>
      <c r="R567" s="77"/>
      <c r="S567" s="50"/>
    </row>
    <row r="568" spans="1:19" s="2" customFormat="1" ht="33" customHeight="1" x14ac:dyDescent="0.25">
      <c r="A568" s="20"/>
      <c r="B568" s="129"/>
      <c r="C568" s="131" t="s">
        <v>49</v>
      </c>
      <c r="D568" s="99" t="s">
        <v>119</v>
      </c>
      <c r="E568" s="93">
        <v>242.62</v>
      </c>
      <c r="F568" s="94">
        <v>5.6</v>
      </c>
      <c r="G568" s="94">
        <f>E568*F568</f>
        <v>1358.672</v>
      </c>
      <c r="H568" s="94">
        <f>E568*69</f>
        <v>16740.78</v>
      </c>
      <c r="I568" s="94"/>
      <c r="J568" s="94"/>
      <c r="K568" s="94"/>
      <c r="L568" s="94"/>
      <c r="M568" s="94"/>
      <c r="N568" s="94"/>
      <c r="O568" s="94"/>
      <c r="P568" s="220" t="s">
        <v>128</v>
      </c>
      <c r="Q568" s="73"/>
      <c r="R568" s="74"/>
      <c r="S568" s="47"/>
    </row>
    <row r="569" spans="1:19" s="2" customFormat="1" ht="42.75" customHeight="1" x14ac:dyDescent="0.25">
      <c r="A569" s="18"/>
      <c r="B569" s="122"/>
      <c r="C569" s="132" t="s">
        <v>49</v>
      </c>
      <c r="D569" s="100" t="s">
        <v>120</v>
      </c>
      <c r="E569" s="89">
        <f>SUM(E567:E568)</f>
        <v>6302.9759999999987</v>
      </c>
      <c r="F569" s="89"/>
      <c r="G569" s="87">
        <f t="shared" ref="G569:H569" si="189">SUM(G567:G568)</f>
        <v>21881.709279999999</v>
      </c>
      <c r="H569" s="87">
        <f t="shared" si="189"/>
        <v>223216.37999999998</v>
      </c>
      <c r="I569" s="87"/>
      <c r="J569" s="87"/>
      <c r="K569" s="87"/>
      <c r="L569" s="87"/>
      <c r="M569" s="87"/>
      <c r="N569" s="87"/>
      <c r="O569" s="87"/>
      <c r="P569" s="221" t="s">
        <v>136</v>
      </c>
      <c r="Q569" s="76"/>
      <c r="R569" s="77"/>
      <c r="S569" s="50"/>
    </row>
    <row r="570" spans="1:19" s="2" customFormat="1" ht="31.5" customHeight="1" x14ac:dyDescent="0.25">
      <c r="A570" s="20"/>
      <c r="B570" s="129"/>
      <c r="C570" s="131" t="s">
        <v>49</v>
      </c>
      <c r="D570" s="99" t="s">
        <v>139</v>
      </c>
      <c r="E570" s="93">
        <v>288.52</v>
      </c>
      <c r="F570" s="94">
        <v>5.6</v>
      </c>
      <c r="G570" s="94">
        <f>SUM(E570*F570)</f>
        <v>1615.7119999999998</v>
      </c>
      <c r="H570" s="94">
        <f>SUM(E570*69)</f>
        <v>19907.879999999997</v>
      </c>
      <c r="I570" s="94"/>
      <c r="J570" s="94"/>
      <c r="K570" s="94"/>
      <c r="L570" s="94"/>
      <c r="M570" s="94"/>
      <c r="N570" s="94"/>
      <c r="O570" s="94"/>
      <c r="P570" s="220">
        <v>0</v>
      </c>
      <c r="Q570" s="73"/>
      <c r="R570" s="74"/>
      <c r="S570" s="47"/>
    </row>
    <row r="571" spans="1:19" s="2" customFormat="1" ht="42.75" customHeight="1" x14ac:dyDescent="0.25">
      <c r="A571" s="18"/>
      <c r="B571" s="122"/>
      <c r="C571" s="132" t="s">
        <v>49</v>
      </c>
      <c r="D571" s="100" t="s">
        <v>140</v>
      </c>
      <c r="E571" s="89">
        <f>SUM(E569:E570)</f>
        <v>6591.4959999999992</v>
      </c>
      <c r="F571" s="89"/>
      <c r="G571" s="87">
        <f t="shared" ref="G571:H571" si="190">SUM(G569:G570)</f>
        <v>23497.421279999999</v>
      </c>
      <c r="H571" s="87">
        <f t="shared" si="190"/>
        <v>243124.25999999998</v>
      </c>
      <c r="I571" s="87"/>
      <c r="J571" s="87"/>
      <c r="K571" s="87"/>
      <c r="L571" s="87"/>
      <c r="M571" s="87"/>
      <c r="N571" s="87"/>
      <c r="O571" s="87"/>
      <c r="P571" s="221" t="s">
        <v>136</v>
      </c>
      <c r="Q571" s="76"/>
      <c r="R571" s="77"/>
      <c r="S571" s="50"/>
    </row>
    <row r="572" spans="1:19" s="2" customFormat="1" ht="47.25" customHeight="1" x14ac:dyDescent="0.25">
      <c r="A572" s="20"/>
      <c r="B572" s="129"/>
      <c r="C572" s="131" t="s">
        <v>49</v>
      </c>
      <c r="D572" s="99" t="s">
        <v>144</v>
      </c>
      <c r="E572" s="93">
        <v>250</v>
      </c>
      <c r="F572" s="94">
        <v>5.6</v>
      </c>
      <c r="G572" s="94">
        <f>SUM(E572*F572)</f>
        <v>1400</v>
      </c>
      <c r="H572" s="94">
        <f>SUM(E572*69)</f>
        <v>17250</v>
      </c>
      <c r="I572" s="180"/>
      <c r="K572" s="94"/>
      <c r="L572" s="94"/>
      <c r="M572" s="94"/>
      <c r="N572" s="94"/>
      <c r="O572" s="94"/>
      <c r="P572" s="220" t="s">
        <v>156</v>
      </c>
      <c r="Q572" s="73"/>
      <c r="R572" s="74"/>
      <c r="S572" s="47"/>
    </row>
    <row r="573" spans="1:19" s="2" customFormat="1" ht="42.75" customHeight="1" x14ac:dyDescent="0.25">
      <c r="A573" s="18"/>
      <c r="B573" s="122"/>
      <c r="C573" s="132" t="s">
        <v>49</v>
      </c>
      <c r="D573" s="100" t="s">
        <v>145</v>
      </c>
      <c r="E573" s="89">
        <f>SUM(E571:E572)</f>
        <v>6841.4959999999992</v>
      </c>
      <c r="F573" s="89"/>
      <c r="G573" s="87">
        <f>SUM(G571:G572)</f>
        <v>24897.421279999999</v>
      </c>
      <c r="H573" s="87">
        <f>SUM(H571:H572)</f>
        <v>260374.25999999998</v>
      </c>
      <c r="I573" s="87"/>
      <c r="J573" s="87"/>
      <c r="K573" s="87"/>
      <c r="L573" s="87"/>
      <c r="M573" s="87"/>
      <c r="N573" s="87"/>
      <c r="O573" s="87"/>
      <c r="P573" s="221" t="s">
        <v>163</v>
      </c>
      <c r="Q573" s="76"/>
      <c r="R573" s="77"/>
      <c r="S573" s="50"/>
    </row>
    <row r="574" spans="1:19" s="2" customFormat="1" ht="42.75" customHeight="1" x14ac:dyDescent="0.25">
      <c r="A574" s="20"/>
      <c r="B574" s="129"/>
      <c r="C574" s="131" t="s">
        <v>49</v>
      </c>
      <c r="D574" s="99" t="s">
        <v>165</v>
      </c>
      <c r="E574" s="93">
        <v>215.08</v>
      </c>
      <c r="F574" s="94">
        <v>5.6</v>
      </c>
      <c r="G574" s="94">
        <f>E574*F574</f>
        <v>1204.4480000000001</v>
      </c>
      <c r="H574" s="94">
        <f>E574*82</f>
        <v>17636.560000000001</v>
      </c>
      <c r="I574" s="94"/>
      <c r="J574" s="94"/>
      <c r="K574" s="94"/>
      <c r="L574" s="94"/>
      <c r="M574" s="94"/>
      <c r="N574" s="94"/>
      <c r="O574" s="94"/>
      <c r="P574" s="220" t="s">
        <v>184</v>
      </c>
      <c r="Q574" s="73"/>
      <c r="R574" s="74"/>
      <c r="S574" s="47"/>
    </row>
    <row r="575" spans="1:19" s="2" customFormat="1" ht="42.75" customHeight="1" x14ac:dyDescent="0.25">
      <c r="A575" s="18"/>
      <c r="B575" s="122"/>
      <c r="C575" s="132" t="s">
        <v>49</v>
      </c>
      <c r="D575" s="100" t="s">
        <v>167</v>
      </c>
      <c r="E575" s="89">
        <f>SUM(E573:E574)</f>
        <v>7056.5759999999991</v>
      </c>
      <c r="F575" s="89"/>
      <c r="G575" s="87">
        <f t="shared" ref="G575:H575" si="191">SUM(G573:G574)</f>
        <v>26101.869279999999</v>
      </c>
      <c r="H575" s="87">
        <f t="shared" si="191"/>
        <v>278010.82</v>
      </c>
      <c r="I575" s="87"/>
      <c r="J575" s="87"/>
      <c r="K575" s="87"/>
      <c r="L575" s="87"/>
      <c r="M575" s="87"/>
      <c r="N575" s="87"/>
      <c r="O575" s="87"/>
      <c r="P575" s="221" t="s">
        <v>185</v>
      </c>
      <c r="Q575" s="76"/>
      <c r="R575" s="77"/>
      <c r="S575" s="50"/>
    </row>
    <row r="576" spans="1:19" s="2" customFormat="1" ht="42.75" customHeight="1" x14ac:dyDescent="0.25">
      <c r="A576" s="20"/>
      <c r="B576" s="129"/>
      <c r="C576" s="131" t="s">
        <v>49</v>
      </c>
      <c r="D576" s="99" t="s">
        <v>166</v>
      </c>
      <c r="E576" s="93">
        <v>264.98</v>
      </c>
      <c r="F576" s="94">
        <v>5.6</v>
      </c>
      <c r="G576" s="94">
        <f>88.02*5.6</f>
        <v>492.91199999999992</v>
      </c>
      <c r="H576" s="94">
        <f>88.02*82</f>
        <v>7217.6399999999994</v>
      </c>
      <c r="I576" s="94">
        <f>176.96*5.6</f>
        <v>990.976</v>
      </c>
      <c r="J576" s="94">
        <f>176.96*82</f>
        <v>14510.720000000001</v>
      </c>
      <c r="K576" s="94"/>
      <c r="L576" s="94"/>
      <c r="M576" s="94"/>
      <c r="N576" s="94"/>
      <c r="O576" s="94"/>
      <c r="P576" s="220">
        <v>0</v>
      </c>
      <c r="Q576" s="73"/>
      <c r="R576" s="74"/>
      <c r="S576" s="47"/>
    </row>
    <row r="577" spans="1:21" s="2" customFormat="1" ht="42.75" customHeight="1" x14ac:dyDescent="0.25">
      <c r="A577" s="18"/>
      <c r="B577" s="122"/>
      <c r="C577" s="132" t="s">
        <v>49</v>
      </c>
      <c r="D577" s="100" t="s">
        <v>168</v>
      </c>
      <c r="E577" s="89">
        <f>SUM(E575:E576)</f>
        <v>7321.5559999999987</v>
      </c>
      <c r="F577" s="89"/>
      <c r="G577" s="87">
        <f t="shared" ref="G577:J577" si="192">SUM(G575:G576)</f>
        <v>26594.781279999999</v>
      </c>
      <c r="H577" s="87">
        <f t="shared" si="192"/>
        <v>285228.46000000002</v>
      </c>
      <c r="I577" s="87">
        <f t="shared" si="192"/>
        <v>990.976</v>
      </c>
      <c r="J577" s="87">
        <f t="shared" si="192"/>
        <v>14510.720000000001</v>
      </c>
      <c r="K577" s="87"/>
      <c r="L577" s="87"/>
      <c r="M577" s="87"/>
      <c r="N577" s="87"/>
      <c r="O577" s="87"/>
      <c r="P577" s="221" t="s">
        <v>185</v>
      </c>
      <c r="Q577" s="76"/>
      <c r="R577" s="77"/>
      <c r="S577" s="50"/>
    </row>
    <row r="578" spans="1:21" s="236" customFormat="1" ht="42.75" customHeight="1" x14ac:dyDescent="0.25">
      <c r="A578" s="230"/>
      <c r="B578" s="237"/>
      <c r="C578" s="131" t="s">
        <v>49</v>
      </c>
      <c r="D578" s="99" t="s">
        <v>195</v>
      </c>
      <c r="E578" s="231">
        <v>282.38</v>
      </c>
      <c r="F578" s="94">
        <v>5.6</v>
      </c>
      <c r="G578" s="94">
        <f>176.96*5.6</f>
        <v>990.976</v>
      </c>
      <c r="H578" s="94">
        <f>176.96*82</f>
        <v>14510.720000000001</v>
      </c>
      <c r="I578" s="232">
        <f>E578*5.6</f>
        <v>1581.328</v>
      </c>
      <c r="J578" s="232">
        <f>E578*82</f>
        <v>23155.16</v>
      </c>
      <c r="K578" s="232"/>
      <c r="L578" s="232"/>
      <c r="M578" s="232"/>
      <c r="N578" s="232"/>
      <c r="O578" s="232"/>
      <c r="P578" s="233" t="s">
        <v>199</v>
      </c>
      <c r="Q578" s="247"/>
      <c r="R578" s="248"/>
      <c r="S578" s="235"/>
    </row>
    <row r="579" spans="1:21" s="2" customFormat="1" ht="42.75" customHeight="1" x14ac:dyDescent="0.25">
      <c r="A579" s="18"/>
      <c r="B579" s="122"/>
      <c r="C579" s="132" t="s">
        <v>49</v>
      </c>
      <c r="D579" s="100" t="s">
        <v>196</v>
      </c>
      <c r="E579" s="89">
        <f>SUM(E577:E578)</f>
        <v>7603.9359999999988</v>
      </c>
      <c r="F579" s="89"/>
      <c r="G579" s="87">
        <f>SUM(G577:G578)</f>
        <v>27585.757279999998</v>
      </c>
      <c r="H579" s="87">
        <f>SUM(H577:H578)</f>
        <v>299739.18000000005</v>
      </c>
      <c r="I579" s="87">
        <v>1581.33</v>
      </c>
      <c r="J579" s="87">
        <v>23155.16</v>
      </c>
      <c r="K579" s="87"/>
      <c r="L579" s="87"/>
      <c r="M579" s="87"/>
      <c r="N579" s="87"/>
      <c r="O579" s="87"/>
      <c r="P579" s="221" t="s">
        <v>200</v>
      </c>
      <c r="Q579" s="76"/>
      <c r="R579" s="77"/>
      <c r="S579" s="50"/>
    </row>
    <row r="580" spans="1:21" s="236" customFormat="1" ht="42.75" customHeight="1" x14ac:dyDescent="0.25">
      <c r="A580" s="230"/>
      <c r="B580" s="237"/>
      <c r="C580" s="131" t="s">
        <v>49</v>
      </c>
      <c r="D580" s="99" t="s">
        <v>201</v>
      </c>
      <c r="E580" s="231">
        <v>241.97</v>
      </c>
      <c r="F580" s="94">
        <v>5.6</v>
      </c>
      <c r="G580" s="232">
        <f>361.44*5.6</f>
        <v>2024.0639999999999</v>
      </c>
      <c r="H580" s="232">
        <f>361.44*82</f>
        <v>29638.079999999998</v>
      </c>
      <c r="I580" s="232">
        <f>162.91*5.6</f>
        <v>912.29599999999994</v>
      </c>
      <c r="J580" s="232">
        <f>162.91*82</f>
        <v>13358.619999999999</v>
      </c>
      <c r="K580" s="232"/>
      <c r="L580" s="232"/>
      <c r="M580" s="232"/>
      <c r="N580" s="232"/>
      <c r="O580" s="232"/>
      <c r="P580" s="220">
        <v>0</v>
      </c>
      <c r="Q580" s="247"/>
      <c r="R580" s="248"/>
      <c r="S580" s="235"/>
    </row>
    <row r="581" spans="1:21" s="2" customFormat="1" ht="42.75" customHeight="1" x14ac:dyDescent="0.25">
      <c r="A581" s="18"/>
      <c r="B581" s="122"/>
      <c r="C581" s="132" t="s">
        <v>49</v>
      </c>
      <c r="D581" s="100" t="s">
        <v>202</v>
      </c>
      <c r="E581" s="89">
        <f>SUM(E579:E580)</f>
        <v>7845.905999999999</v>
      </c>
      <c r="F581" s="89"/>
      <c r="G581" s="87">
        <f>SUM(G579:G580)</f>
        <v>29609.821279999996</v>
      </c>
      <c r="H581" s="87">
        <f>SUM(H579:H580)</f>
        <v>329377.26000000007</v>
      </c>
      <c r="I581" s="87">
        <v>912.3</v>
      </c>
      <c r="J581" s="87">
        <v>13358.62</v>
      </c>
      <c r="K581" s="87"/>
      <c r="L581" s="87"/>
      <c r="M581" s="87"/>
      <c r="N581" s="87"/>
      <c r="O581" s="87"/>
      <c r="P581" s="221" t="s">
        <v>200</v>
      </c>
      <c r="Q581" s="76"/>
      <c r="R581" s="77"/>
      <c r="S581" s="50"/>
    </row>
    <row r="582" spans="1:21" s="236" customFormat="1" ht="42.75" customHeight="1" x14ac:dyDescent="0.25">
      <c r="A582" s="230"/>
      <c r="B582" s="237"/>
      <c r="C582" s="131" t="s">
        <v>49</v>
      </c>
      <c r="D582" s="99" t="s">
        <v>208</v>
      </c>
      <c r="E582" s="231">
        <v>182</v>
      </c>
      <c r="F582" s="94">
        <v>5.6</v>
      </c>
      <c r="G582" s="232"/>
      <c r="H582" s="232"/>
      <c r="I582" s="232">
        <f>182*5.6</f>
        <v>1019.1999999999999</v>
      </c>
      <c r="J582" s="232">
        <f>182*95</f>
        <v>17290</v>
      </c>
      <c r="K582" s="232"/>
      <c r="L582" s="232"/>
      <c r="M582" s="232"/>
      <c r="N582" s="232"/>
      <c r="O582" s="232"/>
      <c r="P582" s="233"/>
      <c r="Q582" s="247"/>
      <c r="R582" s="248"/>
      <c r="S582" s="235"/>
    </row>
    <row r="583" spans="1:21" s="2" customFormat="1" ht="42.75" customHeight="1" x14ac:dyDescent="0.25">
      <c r="A583" s="18"/>
      <c r="B583" s="122"/>
      <c r="C583" s="132" t="s">
        <v>49</v>
      </c>
      <c r="D583" s="100" t="s">
        <v>209</v>
      </c>
      <c r="E583" s="89">
        <f>SUM(E581:E582)</f>
        <v>8027.905999999999</v>
      </c>
      <c r="F583" s="89"/>
      <c r="G583" s="87">
        <f>SUM(G581:G582)</f>
        <v>29609.821279999996</v>
      </c>
      <c r="H583" s="87">
        <f>SUM(H581:H582)</f>
        <v>329377.26000000007</v>
      </c>
      <c r="I583" s="87">
        <f>SUM(I581:I582)</f>
        <v>1931.5</v>
      </c>
      <c r="J583" s="87">
        <f>SUM(J581:J582)</f>
        <v>30648.620000000003</v>
      </c>
      <c r="K583" s="87"/>
      <c r="L583" s="87"/>
      <c r="M583" s="87"/>
      <c r="N583" s="87"/>
      <c r="O583" s="87"/>
      <c r="P583" s="221" t="s">
        <v>200</v>
      </c>
      <c r="Q583" s="76"/>
      <c r="R583" s="77"/>
      <c r="S583" s="50"/>
    </row>
    <row r="584" spans="1:21" s="236" customFormat="1" ht="42.75" customHeight="1" x14ac:dyDescent="0.25">
      <c r="A584" s="230"/>
      <c r="B584" s="237"/>
      <c r="C584" s="131" t="s">
        <v>49</v>
      </c>
      <c r="D584" s="99" t="s">
        <v>216</v>
      </c>
      <c r="E584" s="231">
        <v>254.68</v>
      </c>
      <c r="F584" s="231"/>
      <c r="G584" s="232">
        <f>278.41*5.6</f>
        <v>1559.096</v>
      </c>
      <c r="H584" s="232">
        <f>13358.62+115.5*95</f>
        <v>24331.120000000003</v>
      </c>
      <c r="I584" s="232">
        <f>321.18*5.6</f>
        <v>1798.6079999999999</v>
      </c>
      <c r="J584" s="232">
        <f>321.18*95</f>
        <v>30512.100000000002</v>
      </c>
      <c r="K584" s="232"/>
      <c r="L584" s="232"/>
      <c r="M584" s="232"/>
      <c r="N584" s="232"/>
      <c r="O584" s="232"/>
      <c r="P584" s="233"/>
      <c r="Q584" s="247"/>
      <c r="R584" s="248"/>
      <c r="S584" s="235"/>
    </row>
    <row r="585" spans="1:21" s="2" customFormat="1" ht="42.75" customHeight="1" x14ac:dyDescent="0.25">
      <c r="A585" s="18"/>
      <c r="B585" s="122"/>
      <c r="C585" s="132" t="s">
        <v>49</v>
      </c>
      <c r="D585" s="100" t="s">
        <v>217</v>
      </c>
      <c r="E585" s="89">
        <f>SUM(E583:E584)</f>
        <v>8282.5859999999993</v>
      </c>
      <c r="F585" s="89"/>
      <c r="G585" s="87">
        <f>SUM(G583:G584)</f>
        <v>31168.917279999998</v>
      </c>
      <c r="H585" s="87">
        <f>SUM(H583:H584)</f>
        <v>353708.38000000006</v>
      </c>
      <c r="I585" s="87">
        <v>1798.61</v>
      </c>
      <c r="J585" s="87">
        <v>30512.1</v>
      </c>
      <c r="K585" s="87"/>
      <c r="L585" s="87"/>
      <c r="M585" s="87"/>
      <c r="N585" s="87"/>
      <c r="O585" s="87"/>
      <c r="P585" s="221" t="s">
        <v>200</v>
      </c>
      <c r="Q585" s="76"/>
      <c r="R585" s="77"/>
      <c r="S585" s="50"/>
    </row>
    <row r="586" spans="1:21" x14ac:dyDescent="0.25">
      <c r="A586" s="23"/>
      <c r="B586" s="23"/>
      <c r="C586" s="23"/>
      <c r="D586" s="36"/>
      <c r="E586" s="53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72"/>
      <c r="S586" s="55"/>
    </row>
    <row r="587" spans="1:21" ht="27" customHeight="1" x14ac:dyDescent="0.25">
      <c r="A587" s="16"/>
      <c r="B587" s="115" t="s">
        <v>40</v>
      </c>
      <c r="C587" s="136" t="s">
        <v>50</v>
      </c>
      <c r="D587" s="160">
        <v>2011</v>
      </c>
      <c r="E587" s="161">
        <v>79.16</v>
      </c>
      <c r="F587" s="141">
        <v>3.18</v>
      </c>
      <c r="G587" s="94">
        <f>E587*F587</f>
        <v>251.72880000000001</v>
      </c>
      <c r="H587" s="94">
        <v>237.48</v>
      </c>
      <c r="I587" s="84"/>
      <c r="J587" s="84"/>
      <c r="K587" s="84"/>
      <c r="L587" s="119"/>
      <c r="M587" s="119"/>
      <c r="N587" s="119"/>
      <c r="O587" s="119"/>
      <c r="P587" s="84">
        <v>0</v>
      </c>
      <c r="Q587" s="38"/>
      <c r="R587" s="75"/>
      <c r="S587" s="51"/>
    </row>
    <row r="588" spans="1:21" ht="30" customHeight="1" x14ac:dyDescent="0.25">
      <c r="A588" s="16"/>
      <c r="B588" s="119"/>
      <c r="C588" s="136" t="s">
        <v>50</v>
      </c>
      <c r="D588" s="160">
        <v>2012</v>
      </c>
      <c r="E588" s="161">
        <v>45.88</v>
      </c>
      <c r="F588" s="141">
        <v>3.18</v>
      </c>
      <c r="G588" s="94">
        <f>E588*F588</f>
        <v>145.89840000000001</v>
      </c>
      <c r="H588" s="94">
        <v>412.92</v>
      </c>
      <c r="I588" s="84"/>
      <c r="J588" s="84"/>
      <c r="K588" s="84"/>
      <c r="L588" s="119"/>
      <c r="M588" s="119"/>
      <c r="N588" s="119"/>
      <c r="O588" s="119"/>
      <c r="P588" s="84">
        <v>0</v>
      </c>
      <c r="Q588" s="38"/>
      <c r="R588" s="75"/>
      <c r="S588" s="51"/>
      <c r="U588" s="2"/>
    </row>
    <row r="589" spans="1:21" ht="38.25" customHeight="1" x14ac:dyDescent="0.25">
      <c r="A589" s="18"/>
      <c r="B589" s="122"/>
      <c r="C589" s="132" t="s">
        <v>50</v>
      </c>
      <c r="D589" s="96" t="s">
        <v>25</v>
      </c>
      <c r="E589" s="89">
        <f>SUM(E587:E588)</f>
        <v>125.03999999999999</v>
      </c>
      <c r="F589" s="89"/>
      <c r="G589" s="87">
        <f t="shared" ref="G589:H589" si="193">SUM(G587:G588)</f>
        <v>397.62720000000002</v>
      </c>
      <c r="H589" s="87">
        <f t="shared" si="193"/>
        <v>650.4</v>
      </c>
      <c r="I589" s="87"/>
      <c r="J589" s="87"/>
      <c r="K589" s="87"/>
      <c r="L589" s="122"/>
      <c r="M589" s="122"/>
      <c r="N589" s="122"/>
      <c r="O589" s="122"/>
      <c r="P589" s="87">
        <v>0</v>
      </c>
      <c r="Q589" s="76"/>
      <c r="R589" s="77"/>
      <c r="S589" s="50"/>
    </row>
    <row r="590" spans="1:21" ht="30" customHeight="1" x14ac:dyDescent="0.25">
      <c r="A590" s="16"/>
      <c r="B590" s="119"/>
      <c r="C590" s="136" t="s">
        <v>50</v>
      </c>
      <c r="D590" s="160">
        <v>2013</v>
      </c>
      <c r="E590" s="161">
        <v>63.84</v>
      </c>
      <c r="F590" s="141">
        <v>3.18</v>
      </c>
      <c r="G590" s="142">
        <f>E590*F590</f>
        <v>203.01120000000003</v>
      </c>
      <c r="H590" s="142">
        <v>957.6</v>
      </c>
      <c r="I590" s="92"/>
      <c r="J590" s="92"/>
      <c r="K590" s="84"/>
      <c r="L590" s="119"/>
      <c r="M590" s="119"/>
      <c r="N590" s="119"/>
      <c r="O590" s="119"/>
      <c r="P590" s="84">
        <v>0</v>
      </c>
      <c r="Q590" s="38"/>
      <c r="R590" s="75"/>
      <c r="S590" s="51"/>
    </row>
    <row r="591" spans="1:21" ht="39" customHeight="1" x14ac:dyDescent="0.25">
      <c r="A591" s="18"/>
      <c r="B591" s="122"/>
      <c r="C591" s="132" t="s">
        <v>50</v>
      </c>
      <c r="D591" s="96" t="s">
        <v>38</v>
      </c>
      <c r="E591" s="89">
        <f>SUM(E589:E590)</f>
        <v>188.88</v>
      </c>
      <c r="F591" s="89"/>
      <c r="G591" s="87">
        <f t="shared" ref="G591:H591" si="194">SUM(G589:G590)</f>
        <v>600.63840000000005</v>
      </c>
      <c r="H591" s="87">
        <f t="shared" si="194"/>
        <v>1608</v>
      </c>
      <c r="I591" s="87"/>
      <c r="J591" s="87"/>
      <c r="K591" s="87"/>
      <c r="L591" s="122"/>
      <c r="M591" s="122"/>
      <c r="N591" s="122"/>
      <c r="O591" s="122"/>
      <c r="P591" s="87">
        <v>0</v>
      </c>
      <c r="Q591" s="76"/>
      <c r="R591" s="77"/>
      <c r="S591" s="50"/>
    </row>
    <row r="592" spans="1:21" ht="30.75" customHeight="1" x14ac:dyDescent="0.25">
      <c r="A592" s="16"/>
      <c r="B592" s="119"/>
      <c r="C592" s="136" t="s">
        <v>50</v>
      </c>
      <c r="D592" s="160">
        <v>2014</v>
      </c>
      <c r="E592" s="161">
        <v>47.28</v>
      </c>
      <c r="F592" s="141">
        <v>3.18</v>
      </c>
      <c r="G592" s="94">
        <f>E592*F592</f>
        <v>150.35040000000001</v>
      </c>
      <c r="H592" s="94">
        <v>1040.1600000000001</v>
      </c>
      <c r="I592" s="84"/>
      <c r="J592" s="84"/>
      <c r="K592" s="84"/>
      <c r="L592" s="119"/>
      <c r="M592" s="119"/>
      <c r="N592" s="119"/>
      <c r="O592" s="119"/>
      <c r="P592" s="84">
        <v>0</v>
      </c>
      <c r="Q592" s="38"/>
      <c r="R592" s="75"/>
      <c r="S592" s="51"/>
    </row>
    <row r="593" spans="1:19" ht="37.5" customHeight="1" x14ac:dyDescent="0.25">
      <c r="A593" s="18"/>
      <c r="B593" s="122"/>
      <c r="C593" s="132" t="s">
        <v>50</v>
      </c>
      <c r="D593" s="96" t="s">
        <v>24</v>
      </c>
      <c r="E593" s="89">
        <f>SUM(E591:E592)</f>
        <v>236.16</v>
      </c>
      <c r="F593" s="89"/>
      <c r="G593" s="87">
        <f t="shared" ref="G593:H593" si="195">SUM(G591:G592)</f>
        <v>750.98880000000008</v>
      </c>
      <c r="H593" s="87">
        <f t="shared" si="195"/>
        <v>2648.16</v>
      </c>
      <c r="I593" s="87"/>
      <c r="J593" s="87"/>
      <c r="K593" s="87"/>
      <c r="L593" s="122"/>
      <c r="M593" s="122"/>
      <c r="N593" s="122"/>
      <c r="O593" s="122"/>
      <c r="P593" s="87">
        <v>0</v>
      </c>
      <c r="Q593" s="76"/>
      <c r="R593" s="77"/>
      <c r="S593" s="50"/>
    </row>
    <row r="594" spans="1:19" ht="27" customHeight="1" x14ac:dyDescent="0.25">
      <c r="A594" s="16"/>
      <c r="B594" s="119"/>
      <c r="C594" s="136" t="s">
        <v>50</v>
      </c>
      <c r="D594" s="160">
        <v>2015</v>
      </c>
      <c r="E594" s="161">
        <v>334.6</v>
      </c>
      <c r="F594" s="141">
        <v>3.37</v>
      </c>
      <c r="G594" s="94">
        <f>E594*F594</f>
        <v>1127.6020000000001</v>
      </c>
      <c r="H594" s="94">
        <v>9368.7999999999993</v>
      </c>
      <c r="I594" s="84"/>
      <c r="J594" s="84"/>
      <c r="K594" s="84"/>
      <c r="L594" s="119"/>
      <c r="M594" s="119"/>
      <c r="N594" s="119"/>
      <c r="O594" s="119"/>
      <c r="P594" s="84">
        <v>0</v>
      </c>
      <c r="Q594" s="38"/>
      <c r="R594" s="75"/>
      <c r="S594" s="51"/>
    </row>
    <row r="595" spans="1:19" ht="36" customHeight="1" x14ac:dyDescent="0.25">
      <c r="A595" s="18"/>
      <c r="B595" s="122"/>
      <c r="C595" s="132" t="s">
        <v>50</v>
      </c>
      <c r="D595" s="96" t="s">
        <v>26</v>
      </c>
      <c r="E595" s="89">
        <f>SUM(E593:E594)</f>
        <v>570.76</v>
      </c>
      <c r="F595" s="89"/>
      <c r="G595" s="87">
        <f t="shared" ref="G595:H595" si="196">SUM(G593:G594)</f>
        <v>1878.5908000000002</v>
      </c>
      <c r="H595" s="87">
        <f t="shared" si="196"/>
        <v>12016.96</v>
      </c>
      <c r="I595" s="87"/>
      <c r="J595" s="87"/>
      <c r="K595" s="87"/>
      <c r="L595" s="122"/>
      <c r="M595" s="122"/>
      <c r="N595" s="122"/>
      <c r="O595" s="122"/>
      <c r="P595" s="87">
        <v>0</v>
      </c>
      <c r="Q595" s="76"/>
      <c r="R595" s="77"/>
      <c r="S595" s="50"/>
    </row>
    <row r="596" spans="1:19" ht="29.25" customHeight="1" x14ac:dyDescent="0.25">
      <c r="A596" s="16"/>
      <c r="B596" s="119"/>
      <c r="C596" s="136" t="s">
        <v>50</v>
      </c>
      <c r="D596" s="99" t="s">
        <v>29</v>
      </c>
      <c r="E596" s="137">
        <v>114.82</v>
      </c>
      <c r="F596" s="92">
        <v>3.37</v>
      </c>
      <c r="G596" s="94">
        <f>E596*F596</f>
        <v>386.9434</v>
      </c>
      <c r="H596" s="94">
        <v>4133.5200000000004</v>
      </c>
      <c r="I596" s="84"/>
      <c r="J596" s="84"/>
      <c r="K596" s="84"/>
      <c r="L596" s="119"/>
      <c r="M596" s="119"/>
      <c r="N596" s="119"/>
      <c r="O596" s="119"/>
      <c r="P596" s="84">
        <v>0</v>
      </c>
      <c r="Q596" s="38"/>
      <c r="R596" s="75"/>
      <c r="S596" s="51"/>
    </row>
    <row r="597" spans="1:19" ht="38.25" x14ac:dyDescent="0.25">
      <c r="A597" s="18"/>
      <c r="B597" s="122"/>
      <c r="C597" s="132" t="s">
        <v>50</v>
      </c>
      <c r="D597" s="100" t="s">
        <v>30</v>
      </c>
      <c r="E597" s="89">
        <f>SUM(E595:E596)</f>
        <v>685.57999999999993</v>
      </c>
      <c r="F597" s="89"/>
      <c r="G597" s="87">
        <f t="shared" ref="G597:H597" si="197">SUM(G595:G596)</f>
        <v>2265.5342000000001</v>
      </c>
      <c r="H597" s="87">
        <f t="shared" si="197"/>
        <v>16150.48</v>
      </c>
      <c r="I597" s="87"/>
      <c r="J597" s="87"/>
      <c r="K597" s="87"/>
      <c r="L597" s="122"/>
      <c r="M597" s="122"/>
      <c r="N597" s="122"/>
      <c r="O597" s="122"/>
      <c r="P597" s="87">
        <v>0</v>
      </c>
      <c r="Q597" s="76"/>
      <c r="R597" s="77"/>
      <c r="S597" s="50"/>
    </row>
    <row r="598" spans="1:19" ht="27.75" customHeight="1" x14ac:dyDescent="0.25">
      <c r="A598" s="16"/>
      <c r="B598" s="119"/>
      <c r="C598" s="136" t="s">
        <v>50</v>
      </c>
      <c r="D598" s="99" t="s">
        <v>31</v>
      </c>
      <c r="E598" s="137">
        <v>145.1</v>
      </c>
      <c r="F598" s="92">
        <v>3.37</v>
      </c>
      <c r="G598" s="94">
        <f>E598*F598</f>
        <v>488.98700000000002</v>
      </c>
      <c r="H598" s="94">
        <v>5223.6000000000004</v>
      </c>
      <c r="I598" s="84"/>
      <c r="J598" s="84"/>
      <c r="K598" s="84"/>
      <c r="L598" s="119"/>
      <c r="M598" s="119"/>
      <c r="N598" s="119"/>
      <c r="O598" s="119"/>
      <c r="P598" s="84">
        <v>0</v>
      </c>
      <c r="Q598" s="38"/>
      <c r="R598" s="75"/>
      <c r="S598" s="51"/>
    </row>
    <row r="599" spans="1:19" ht="40.5" customHeight="1" x14ac:dyDescent="0.25">
      <c r="A599" s="16"/>
      <c r="B599" s="119"/>
      <c r="C599" s="99" t="s">
        <v>53</v>
      </c>
      <c r="E599" s="137">
        <v>11.68</v>
      </c>
      <c r="F599" s="84">
        <v>0</v>
      </c>
      <c r="G599" s="94">
        <v>0</v>
      </c>
      <c r="H599" s="94">
        <v>0</v>
      </c>
      <c r="I599" s="84"/>
      <c r="J599" s="84"/>
      <c r="K599" s="84"/>
      <c r="L599" s="119"/>
      <c r="M599" s="119"/>
      <c r="N599" s="119"/>
      <c r="O599" s="119"/>
      <c r="P599" s="84"/>
      <c r="Q599" s="38"/>
      <c r="R599" s="75"/>
      <c r="S599" s="51"/>
    </row>
    <row r="600" spans="1:19" ht="38.25" x14ac:dyDescent="0.25">
      <c r="A600" s="18"/>
      <c r="B600" s="122"/>
      <c r="C600" s="132" t="s">
        <v>50</v>
      </c>
      <c r="D600" s="100" t="s">
        <v>32</v>
      </c>
      <c r="E600" s="89">
        <f>SUM(E597:E599)</f>
        <v>842.3599999999999</v>
      </c>
      <c r="F600" s="89"/>
      <c r="G600" s="87">
        <f t="shared" ref="G600:H600" si="198">SUM(G597:G599)</f>
        <v>2754.5212000000001</v>
      </c>
      <c r="H600" s="87">
        <f t="shared" si="198"/>
        <v>21374.080000000002</v>
      </c>
      <c r="I600" s="87"/>
      <c r="J600" s="87"/>
      <c r="K600" s="87"/>
      <c r="L600" s="122"/>
      <c r="M600" s="122"/>
      <c r="N600" s="122"/>
      <c r="O600" s="122"/>
      <c r="P600" s="87">
        <v>0</v>
      </c>
      <c r="Q600" s="76"/>
      <c r="R600" s="77"/>
      <c r="S600" s="50"/>
    </row>
    <row r="601" spans="1:19" ht="29.25" customHeight="1" x14ac:dyDescent="0.25">
      <c r="A601" s="16"/>
      <c r="B601" s="119"/>
      <c r="C601" s="136" t="s">
        <v>50</v>
      </c>
      <c r="D601" s="99" t="s">
        <v>33</v>
      </c>
      <c r="E601" s="137">
        <v>175.3</v>
      </c>
      <c r="F601" s="92">
        <v>3.37</v>
      </c>
      <c r="G601" s="94">
        <f>E601*F601</f>
        <v>590.76100000000008</v>
      </c>
      <c r="H601" s="94">
        <v>6310.8</v>
      </c>
      <c r="I601" s="84"/>
      <c r="J601" s="84"/>
      <c r="K601" s="84"/>
      <c r="L601" s="119"/>
      <c r="M601" s="119"/>
      <c r="N601" s="119"/>
      <c r="O601" s="119"/>
      <c r="P601" s="84">
        <v>0</v>
      </c>
      <c r="Q601" s="38"/>
      <c r="R601" s="75"/>
      <c r="S601" s="51"/>
    </row>
    <row r="602" spans="1:19" ht="38.25" x14ac:dyDescent="0.25">
      <c r="A602" s="18"/>
      <c r="B602" s="122"/>
      <c r="C602" s="132" t="s">
        <v>50</v>
      </c>
      <c r="D602" s="100" t="s">
        <v>35</v>
      </c>
      <c r="E602" s="89">
        <f>SUM(E600:E601)</f>
        <v>1017.6599999999999</v>
      </c>
      <c r="F602" s="89"/>
      <c r="G602" s="87">
        <f t="shared" ref="G602:H602" si="199">SUM(G600:G601)</f>
        <v>3345.2822000000001</v>
      </c>
      <c r="H602" s="87">
        <f t="shared" si="199"/>
        <v>27684.880000000001</v>
      </c>
      <c r="I602" s="87"/>
      <c r="J602" s="87"/>
      <c r="K602" s="87"/>
      <c r="L602" s="122"/>
      <c r="M602" s="122"/>
      <c r="N602" s="122"/>
      <c r="O602" s="122"/>
      <c r="P602" s="87">
        <v>0</v>
      </c>
      <c r="Q602" s="76"/>
      <c r="R602" s="77"/>
      <c r="S602" s="50"/>
    </row>
    <row r="603" spans="1:19" ht="30.75" customHeight="1" x14ac:dyDescent="0.25">
      <c r="A603" s="16"/>
      <c r="B603" s="119"/>
      <c r="C603" s="136" t="s">
        <v>50</v>
      </c>
      <c r="D603" s="99" t="s">
        <v>34</v>
      </c>
      <c r="E603" s="137">
        <v>139.58000000000001</v>
      </c>
      <c r="F603" s="92">
        <v>3.37</v>
      </c>
      <c r="G603" s="94">
        <f>E603*F603</f>
        <v>470.38460000000003</v>
      </c>
      <c r="H603" s="94">
        <v>5024.88</v>
      </c>
      <c r="I603" s="84"/>
      <c r="J603" s="84"/>
      <c r="K603" s="84"/>
      <c r="L603" s="119"/>
      <c r="M603" s="119"/>
      <c r="N603" s="119"/>
      <c r="O603" s="119"/>
      <c r="P603" s="84">
        <v>0</v>
      </c>
      <c r="Q603" s="38"/>
      <c r="R603" s="75"/>
      <c r="S603" s="51"/>
    </row>
    <row r="604" spans="1:19" ht="38.25" x14ac:dyDescent="0.25">
      <c r="A604" s="18"/>
      <c r="B604" s="122"/>
      <c r="C604" s="132" t="s">
        <v>50</v>
      </c>
      <c r="D604" s="100" t="s">
        <v>36</v>
      </c>
      <c r="E604" s="89">
        <f>SUM(E602:E603)</f>
        <v>1157.2399999999998</v>
      </c>
      <c r="F604" s="89"/>
      <c r="G604" s="87">
        <f t="shared" ref="G604:H604" si="200">SUM(G602:G603)</f>
        <v>3815.6668</v>
      </c>
      <c r="H604" s="87">
        <f t="shared" si="200"/>
        <v>32709.760000000002</v>
      </c>
      <c r="I604" s="87"/>
      <c r="J604" s="87"/>
      <c r="K604" s="87"/>
      <c r="L604" s="122"/>
      <c r="M604" s="122"/>
      <c r="N604" s="122"/>
      <c r="O604" s="122"/>
      <c r="P604" s="87">
        <v>0</v>
      </c>
      <c r="Q604" s="76"/>
      <c r="R604" s="77"/>
      <c r="S604" s="50"/>
    </row>
    <row r="605" spans="1:19" s="2" customFormat="1" ht="29.25" customHeight="1" x14ac:dyDescent="0.25">
      <c r="A605" s="20"/>
      <c r="B605" s="129"/>
      <c r="C605" s="131" t="s">
        <v>50</v>
      </c>
      <c r="D605" s="99" t="s">
        <v>57</v>
      </c>
      <c r="E605" s="93">
        <v>120.62</v>
      </c>
      <c r="F605" s="94">
        <v>3.37</v>
      </c>
      <c r="G605" s="94">
        <f>E605*F605</f>
        <v>406.48940000000005</v>
      </c>
      <c r="H605" s="94">
        <v>4824.8</v>
      </c>
      <c r="I605" s="94"/>
      <c r="J605" s="94"/>
      <c r="K605" s="94"/>
      <c r="L605" s="129"/>
      <c r="M605" s="129"/>
      <c r="N605" s="129"/>
      <c r="O605" s="129"/>
      <c r="P605" s="94">
        <v>0</v>
      </c>
      <c r="Q605" s="73"/>
      <c r="R605" s="74"/>
      <c r="S605" s="47"/>
    </row>
    <row r="606" spans="1:19" s="2" customFormat="1" ht="38.25" x14ac:dyDescent="0.25">
      <c r="A606" s="18"/>
      <c r="B606" s="122"/>
      <c r="C606" s="132" t="s">
        <v>50</v>
      </c>
      <c r="D606" s="100" t="s">
        <v>58</v>
      </c>
      <c r="E606" s="89">
        <f>SUM(E604:E605)</f>
        <v>1277.8599999999997</v>
      </c>
      <c r="F606" s="89"/>
      <c r="G606" s="87">
        <f t="shared" ref="G606:H606" si="201">SUM(G604:G605)</f>
        <v>4222.1562000000004</v>
      </c>
      <c r="H606" s="87">
        <f t="shared" si="201"/>
        <v>37534.560000000005</v>
      </c>
      <c r="I606" s="87"/>
      <c r="J606" s="87"/>
      <c r="K606" s="87"/>
      <c r="L606" s="122"/>
      <c r="M606" s="122"/>
      <c r="N606" s="122"/>
      <c r="O606" s="122"/>
      <c r="P606" s="87">
        <v>0</v>
      </c>
      <c r="Q606" s="76"/>
      <c r="R606" s="77"/>
      <c r="S606" s="50"/>
    </row>
    <row r="607" spans="1:19" s="2" customFormat="1" ht="30" customHeight="1" x14ac:dyDescent="0.25">
      <c r="A607" s="20"/>
      <c r="B607" s="129"/>
      <c r="C607" s="136" t="s">
        <v>50</v>
      </c>
      <c r="D607" s="99" t="s">
        <v>61</v>
      </c>
      <c r="E607" s="93">
        <v>102.8</v>
      </c>
      <c r="F607" s="94">
        <v>3.37</v>
      </c>
      <c r="G607" s="94">
        <f>E607*F607</f>
        <v>346.43599999999998</v>
      </c>
      <c r="H607" s="94">
        <v>4112</v>
      </c>
      <c r="I607" s="94"/>
      <c r="J607" s="94"/>
      <c r="K607" s="94"/>
      <c r="L607" s="129"/>
      <c r="M607" s="129"/>
      <c r="N607" s="129"/>
      <c r="O607" s="129"/>
      <c r="P607" s="94">
        <v>24795.96</v>
      </c>
      <c r="Q607" s="73"/>
      <c r="R607" s="74"/>
      <c r="S607" s="47"/>
    </row>
    <row r="608" spans="1:19" s="2" customFormat="1" ht="39" customHeight="1" x14ac:dyDescent="0.25">
      <c r="A608" s="18"/>
      <c r="B608" s="122"/>
      <c r="C608" s="132" t="s">
        <v>50</v>
      </c>
      <c r="D608" s="100" t="s">
        <v>63</v>
      </c>
      <c r="E608" s="89">
        <f>SUM(E606:E607)</f>
        <v>1380.6599999999996</v>
      </c>
      <c r="F608" s="89"/>
      <c r="G608" s="87">
        <f t="shared" ref="G608:H608" si="202">SUM(G606:G607)</f>
        <v>4568.5922</v>
      </c>
      <c r="H608" s="87">
        <f t="shared" si="202"/>
        <v>41646.560000000005</v>
      </c>
      <c r="I608" s="87"/>
      <c r="J608" s="87"/>
      <c r="K608" s="87"/>
      <c r="L608" s="122"/>
      <c r="M608" s="122"/>
      <c r="N608" s="122"/>
      <c r="O608" s="122"/>
      <c r="P608" s="87">
        <v>24795.96</v>
      </c>
      <c r="Q608" s="76"/>
      <c r="R608" s="77"/>
      <c r="S608" s="50"/>
    </row>
    <row r="609" spans="1:19" s="2" customFormat="1" ht="28.5" customHeight="1" x14ac:dyDescent="0.25">
      <c r="A609" s="20"/>
      <c r="B609" s="129"/>
      <c r="C609" s="131" t="s">
        <v>50</v>
      </c>
      <c r="D609" s="99" t="s">
        <v>64</v>
      </c>
      <c r="E609" s="93">
        <v>176.68</v>
      </c>
      <c r="F609" s="94">
        <v>3.37</v>
      </c>
      <c r="G609" s="94">
        <f>E609*F609</f>
        <v>595.41160000000002</v>
      </c>
      <c r="H609" s="94">
        <v>7067.2</v>
      </c>
      <c r="I609" s="94"/>
      <c r="J609" s="94"/>
      <c r="K609" s="94"/>
      <c r="L609" s="129"/>
      <c r="M609" s="129"/>
      <c r="N609" s="129"/>
      <c r="O609" s="129"/>
      <c r="P609" s="94">
        <v>0</v>
      </c>
      <c r="Q609" s="73"/>
      <c r="R609" s="74"/>
      <c r="S609" s="47"/>
    </row>
    <row r="610" spans="1:19" s="2" customFormat="1" ht="39" customHeight="1" x14ac:dyDescent="0.25">
      <c r="A610" s="20"/>
      <c r="B610" s="129"/>
      <c r="C610" s="131" t="s">
        <v>53</v>
      </c>
      <c r="D610" s="104"/>
      <c r="E610" s="93">
        <v>4.12</v>
      </c>
      <c r="F610" s="94">
        <v>0</v>
      </c>
      <c r="G610" s="94">
        <v>0</v>
      </c>
      <c r="H610" s="94">
        <v>0</v>
      </c>
      <c r="I610" s="94"/>
      <c r="J610" s="94"/>
      <c r="K610" s="94"/>
      <c r="L610" s="129"/>
      <c r="M610" s="129"/>
      <c r="N610" s="129"/>
      <c r="O610" s="129"/>
      <c r="P610" s="94"/>
      <c r="Q610" s="73"/>
      <c r="R610" s="74"/>
      <c r="S610" s="47"/>
    </row>
    <row r="611" spans="1:19" s="2" customFormat="1" ht="39" customHeight="1" x14ac:dyDescent="0.25">
      <c r="A611" s="18"/>
      <c r="B611" s="122"/>
      <c r="C611" s="132" t="s">
        <v>50</v>
      </c>
      <c r="D611" s="100" t="s">
        <v>65</v>
      </c>
      <c r="E611" s="89">
        <f>SUM(E608:E610)</f>
        <v>1561.4599999999996</v>
      </c>
      <c r="F611" s="89"/>
      <c r="G611" s="87">
        <f t="shared" ref="G611:H611" si="203">SUM(G608:G610)</f>
        <v>5164.0038000000004</v>
      </c>
      <c r="H611" s="87">
        <f t="shared" si="203"/>
        <v>48713.760000000002</v>
      </c>
      <c r="I611" s="87"/>
      <c r="J611" s="87"/>
      <c r="K611" s="87"/>
      <c r="L611" s="122"/>
      <c r="M611" s="122"/>
      <c r="N611" s="122"/>
      <c r="O611" s="122"/>
      <c r="P611" s="87">
        <v>24795.96</v>
      </c>
      <c r="Q611" s="76"/>
      <c r="R611" s="77"/>
      <c r="S611" s="50"/>
    </row>
    <row r="612" spans="1:19" s="2" customFormat="1" ht="27" customHeight="1" x14ac:dyDescent="0.25">
      <c r="A612" s="20"/>
      <c r="B612" s="129"/>
      <c r="C612" s="136" t="s">
        <v>50</v>
      </c>
      <c r="D612" s="99" t="s">
        <v>70</v>
      </c>
      <c r="E612" s="93">
        <v>13.62</v>
      </c>
      <c r="F612" s="94">
        <v>3.37</v>
      </c>
      <c r="G612" s="94">
        <v>45.8994</v>
      </c>
      <c r="H612" s="94">
        <v>544.79999999999995</v>
      </c>
      <c r="I612" s="94"/>
      <c r="J612" s="94"/>
      <c r="K612" s="94"/>
      <c r="L612" s="129"/>
      <c r="M612" s="129"/>
      <c r="N612" s="129"/>
      <c r="O612" s="129"/>
      <c r="P612" s="94">
        <v>0</v>
      </c>
      <c r="Q612" s="73"/>
      <c r="R612" s="74"/>
      <c r="S612" s="47"/>
    </row>
    <row r="613" spans="1:19" s="2" customFormat="1" ht="39" customHeight="1" x14ac:dyDescent="0.25">
      <c r="A613" s="18"/>
      <c r="B613" s="122"/>
      <c r="C613" s="132" t="s">
        <v>50</v>
      </c>
      <c r="D613" s="100" t="s">
        <v>69</v>
      </c>
      <c r="E613" s="89">
        <f>SUM(E611:E612)</f>
        <v>1575.0799999999995</v>
      </c>
      <c r="F613" s="89"/>
      <c r="G613" s="87">
        <f>SUM(G611:G612)</f>
        <v>5209.9032000000007</v>
      </c>
      <c r="H613" s="87">
        <f>SUM(H611:H612)</f>
        <v>49258.560000000005</v>
      </c>
      <c r="I613" s="87"/>
      <c r="J613" s="87"/>
      <c r="K613" s="87"/>
      <c r="L613" s="122"/>
      <c r="M613" s="122"/>
      <c r="N613" s="122"/>
      <c r="O613" s="122"/>
      <c r="P613" s="87">
        <v>24795.96</v>
      </c>
      <c r="Q613" s="76"/>
      <c r="R613" s="77"/>
      <c r="S613" s="50"/>
    </row>
    <row r="614" spans="1:19" s="2" customFormat="1" ht="27" customHeight="1" x14ac:dyDescent="0.25">
      <c r="A614" s="20"/>
      <c r="B614" s="129"/>
      <c r="C614" s="131" t="s">
        <v>50</v>
      </c>
      <c r="D614" s="99" t="s">
        <v>71</v>
      </c>
      <c r="E614" s="93">
        <v>102.88</v>
      </c>
      <c r="F614" s="94">
        <v>3.45</v>
      </c>
      <c r="G614" s="94">
        <f>E614*F614</f>
        <v>354.93599999999998</v>
      </c>
      <c r="H614" s="94">
        <f>E614*45</f>
        <v>4629.5999999999995</v>
      </c>
      <c r="I614" s="94"/>
      <c r="J614" s="94"/>
      <c r="K614" s="94"/>
      <c r="L614" s="129"/>
      <c r="M614" s="129"/>
      <c r="N614" s="129"/>
      <c r="O614" s="129"/>
      <c r="P614" s="94">
        <v>0</v>
      </c>
      <c r="Q614" s="73"/>
      <c r="R614" s="74"/>
      <c r="S614" s="47"/>
    </row>
    <row r="615" spans="1:19" s="2" customFormat="1" ht="39" customHeight="1" x14ac:dyDescent="0.25">
      <c r="A615" s="18"/>
      <c r="B615" s="122"/>
      <c r="C615" s="132" t="s">
        <v>50</v>
      </c>
      <c r="D615" s="100" t="s">
        <v>72</v>
      </c>
      <c r="E615" s="89">
        <f>SUM(E613:E614)</f>
        <v>1677.9599999999996</v>
      </c>
      <c r="F615" s="89"/>
      <c r="G615" s="87">
        <f t="shared" ref="G615:H615" si="204">SUM(G613:G614)</f>
        <v>5564.8392000000003</v>
      </c>
      <c r="H615" s="87">
        <f t="shared" si="204"/>
        <v>53888.160000000003</v>
      </c>
      <c r="I615" s="87"/>
      <c r="J615" s="87"/>
      <c r="K615" s="87"/>
      <c r="L615" s="122"/>
      <c r="M615" s="122"/>
      <c r="N615" s="122"/>
      <c r="O615" s="122"/>
      <c r="P615" s="87">
        <v>24795.96</v>
      </c>
      <c r="Q615" s="76"/>
      <c r="R615" s="77"/>
      <c r="S615" s="50"/>
    </row>
    <row r="616" spans="1:19" s="2" customFormat="1" ht="31.5" customHeight="1" x14ac:dyDescent="0.25">
      <c r="A616" s="20"/>
      <c r="B616" s="129"/>
      <c r="C616" s="131" t="s">
        <v>50</v>
      </c>
      <c r="D616" s="99" t="s">
        <v>73</v>
      </c>
      <c r="E616" s="93">
        <v>177.76</v>
      </c>
      <c r="F616" s="94">
        <v>3.45</v>
      </c>
      <c r="G616" s="94">
        <f>E616*F616</f>
        <v>613.27200000000005</v>
      </c>
      <c r="H616" s="94">
        <f>E616*45</f>
        <v>7999.2</v>
      </c>
      <c r="I616" s="94"/>
      <c r="J616" s="94"/>
      <c r="K616" s="94"/>
      <c r="L616" s="129"/>
      <c r="M616" s="129"/>
      <c r="N616" s="129"/>
      <c r="O616" s="129"/>
      <c r="P616" s="94">
        <v>0</v>
      </c>
      <c r="Q616" s="73"/>
      <c r="R616" s="74"/>
      <c r="S616" s="47"/>
    </row>
    <row r="617" spans="1:19" s="2" customFormat="1" ht="39" customHeight="1" x14ac:dyDescent="0.25">
      <c r="A617" s="18"/>
      <c r="B617" s="122"/>
      <c r="C617" s="132" t="s">
        <v>50</v>
      </c>
      <c r="D617" s="100" t="s">
        <v>74</v>
      </c>
      <c r="E617" s="89">
        <f>SUM(E615:E616)</f>
        <v>1855.7199999999996</v>
      </c>
      <c r="F617" s="89"/>
      <c r="G617" s="87">
        <f t="shared" ref="G617:H617" si="205">SUM(G615:G616)</f>
        <v>6178.1112000000003</v>
      </c>
      <c r="H617" s="87">
        <f t="shared" si="205"/>
        <v>61887.360000000001</v>
      </c>
      <c r="I617" s="87"/>
      <c r="J617" s="87"/>
      <c r="K617" s="87"/>
      <c r="L617" s="122"/>
      <c r="M617" s="122"/>
      <c r="N617" s="122"/>
      <c r="O617" s="122"/>
      <c r="P617" s="87">
        <v>24795.96</v>
      </c>
      <c r="Q617" s="76"/>
      <c r="R617" s="77"/>
      <c r="S617" s="50"/>
    </row>
    <row r="618" spans="1:19" s="2" customFormat="1" ht="33.75" customHeight="1" x14ac:dyDescent="0.25">
      <c r="A618" s="20"/>
      <c r="B618" s="129"/>
      <c r="C618" s="131" t="s">
        <v>50</v>
      </c>
      <c r="D618" s="99" t="s">
        <v>76</v>
      </c>
      <c r="E618" s="93">
        <v>181.26</v>
      </c>
      <c r="F618" s="94">
        <v>3.45</v>
      </c>
      <c r="G618" s="94">
        <f>E618*F618</f>
        <v>625.34699999999998</v>
      </c>
      <c r="H618" s="94">
        <f>E618*45</f>
        <v>8156.7</v>
      </c>
      <c r="I618" s="94"/>
      <c r="J618" s="94"/>
      <c r="K618" s="94"/>
      <c r="L618" s="129"/>
      <c r="M618" s="129"/>
      <c r="N618" s="129"/>
      <c r="O618" s="129"/>
      <c r="P618" s="94">
        <v>0</v>
      </c>
      <c r="Q618" s="73"/>
      <c r="R618" s="74"/>
      <c r="S618" s="47"/>
    </row>
    <row r="619" spans="1:19" s="2" customFormat="1" ht="39" customHeight="1" x14ac:dyDescent="0.25">
      <c r="A619" s="20"/>
      <c r="B619" s="129"/>
      <c r="C619" s="131" t="s">
        <v>53</v>
      </c>
      <c r="D619" s="104"/>
      <c r="E619" s="93">
        <v>10.32</v>
      </c>
      <c r="F619" s="94">
        <v>0</v>
      </c>
      <c r="G619" s="94">
        <v>0</v>
      </c>
      <c r="H619" s="94">
        <v>0</v>
      </c>
      <c r="I619" s="94"/>
      <c r="J619" s="94"/>
      <c r="K619" s="94"/>
      <c r="L619" s="129"/>
      <c r="M619" s="129"/>
      <c r="N619" s="129"/>
      <c r="O619" s="129"/>
      <c r="Q619" s="73"/>
      <c r="R619" s="74"/>
      <c r="S619" s="47"/>
    </row>
    <row r="620" spans="1:19" s="2" customFormat="1" ht="39" customHeight="1" x14ac:dyDescent="0.25">
      <c r="A620" s="18"/>
      <c r="B620" s="122"/>
      <c r="C620" s="132" t="s">
        <v>50</v>
      </c>
      <c r="D620" s="100" t="s">
        <v>77</v>
      </c>
      <c r="E620" s="89">
        <f>SUM(E617:E619)</f>
        <v>2047.2999999999995</v>
      </c>
      <c r="F620" s="89"/>
      <c r="G620" s="87">
        <f t="shared" ref="G620:H620" si="206">SUM(G617:G619)</f>
        <v>6803.4582</v>
      </c>
      <c r="H620" s="87">
        <f t="shared" si="206"/>
        <v>70044.06</v>
      </c>
      <c r="I620" s="87"/>
      <c r="J620" s="87"/>
      <c r="K620" s="87"/>
      <c r="L620" s="122"/>
      <c r="M620" s="122"/>
      <c r="N620" s="122"/>
      <c r="O620" s="122"/>
      <c r="P620" s="87">
        <v>24795.96</v>
      </c>
      <c r="Q620" s="76"/>
      <c r="R620" s="77"/>
      <c r="S620" s="50"/>
    </row>
    <row r="621" spans="1:19" s="2" customFormat="1" ht="39" customHeight="1" x14ac:dyDescent="0.25">
      <c r="A621" s="20"/>
      <c r="B621" s="129"/>
      <c r="C621" s="131" t="s">
        <v>50</v>
      </c>
      <c r="D621" s="99" t="s">
        <v>78</v>
      </c>
      <c r="E621" s="93">
        <v>51.56</v>
      </c>
      <c r="F621" s="94">
        <v>3.45</v>
      </c>
      <c r="G621" s="94">
        <f>E621*F621</f>
        <v>177.88200000000001</v>
      </c>
      <c r="H621" s="94">
        <f>E621*45</f>
        <v>2320.2000000000003</v>
      </c>
      <c r="I621" s="94"/>
      <c r="J621" s="94"/>
      <c r="K621" s="94"/>
      <c r="L621" s="129"/>
      <c r="M621" s="129"/>
      <c r="N621" s="129"/>
      <c r="O621" s="129"/>
      <c r="P621" s="94">
        <v>6939.87</v>
      </c>
      <c r="Q621" s="73"/>
      <c r="R621" s="74"/>
      <c r="S621" s="47"/>
    </row>
    <row r="622" spans="1:19" s="2" customFormat="1" ht="39" customHeight="1" x14ac:dyDescent="0.25">
      <c r="A622" s="18"/>
      <c r="B622" s="122"/>
      <c r="C622" s="132" t="s">
        <v>50</v>
      </c>
      <c r="D622" s="100" t="s">
        <v>79</v>
      </c>
      <c r="E622" s="89">
        <f>SUM(E620:E621)</f>
        <v>2098.8599999999997</v>
      </c>
      <c r="F622" s="89"/>
      <c r="G622" s="87">
        <f t="shared" ref="G622:H622" si="207">SUM(G620:G621)</f>
        <v>6981.3401999999996</v>
      </c>
      <c r="H622" s="87">
        <f t="shared" si="207"/>
        <v>72364.259999999995</v>
      </c>
      <c r="I622" s="87"/>
      <c r="J622" s="87"/>
      <c r="K622" s="87"/>
      <c r="L622" s="122"/>
      <c r="M622" s="122"/>
      <c r="N622" s="122"/>
      <c r="O622" s="122"/>
      <c r="P622" s="87">
        <f>SUM(P620:P621)</f>
        <v>31735.829999999998</v>
      </c>
      <c r="Q622" s="76"/>
      <c r="R622" s="77"/>
      <c r="S622" s="50"/>
    </row>
    <row r="623" spans="1:19" s="2" customFormat="1" ht="30" customHeight="1" x14ac:dyDescent="0.25">
      <c r="A623" s="20"/>
      <c r="B623" s="129"/>
      <c r="C623" s="131" t="s">
        <v>50</v>
      </c>
      <c r="D623" s="99" t="s">
        <v>82</v>
      </c>
      <c r="E623" s="93">
        <v>36.28</v>
      </c>
      <c r="F623" s="94">
        <v>3.45</v>
      </c>
      <c r="G623" s="94">
        <f>E623*F623</f>
        <v>125.16600000000001</v>
      </c>
      <c r="H623" s="94">
        <f>E623*57</f>
        <v>2067.96</v>
      </c>
      <c r="I623" s="94"/>
      <c r="J623" s="94"/>
      <c r="K623" s="94"/>
      <c r="L623" s="129"/>
      <c r="M623" s="129"/>
      <c r="N623" s="129"/>
      <c r="O623" s="129"/>
      <c r="P623" s="94">
        <v>39597</v>
      </c>
      <c r="Q623" s="73"/>
      <c r="R623" s="74"/>
      <c r="S623" s="47"/>
    </row>
    <row r="624" spans="1:19" s="2" customFormat="1" ht="39" customHeight="1" x14ac:dyDescent="0.25">
      <c r="A624" s="18"/>
      <c r="B624" s="122"/>
      <c r="C624" s="132" t="s">
        <v>50</v>
      </c>
      <c r="D624" s="100" t="s">
        <v>81</v>
      </c>
      <c r="E624" s="89">
        <f>SUM(E622:E623)</f>
        <v>2135.14</v>
      </c>
      <c r="F624" s="89"/>
      <c r="G624" s="87">
        <f t="shared" ref="G624:P624" si="208">SUM(G622:G623)</f>
        <v>7106.5061999999998</v>
      </c>
      <c r="H624" s="87">
        <f t="shared" si="208"/>
        <v>74432.22</v>
      </c>
      <c r="I624" s="87"/>
      <c r="J624" s="87"/>
      <c r="K624" s="87"/>
      <c r="L624" s="87"/>
      <c r="M624" s="87"/>
      <c r="N624" s="87"/>
      <c r="O624" s="87"/>
      <c r="P624" s="87">
        <f t="shared" si="208"/>
        <v>71332.83</v>
      </c>
      <c r="Q624" s="76"/>
      <c r="R624" s="77"/>
      <c r="S624" s="50"/>
    </row>
    <row r="625" spans="1:19" s="2" customFormat="1" ht="31.5" customHeight="1" x14ac:dyDescent="0.25">
      <c r="A625" s="20"/>
      <c r="B625" s="129"/>
      <c r="C625" s="131" t="s">
        <v>50</v>
      </c>
      <c r="D625" s="99" t="s">
        <v>84</v>
      </c>
      <c r="E625" s="93">
        <v>134.69999999999999</v>
      </c>
      <c r="F625" s="94">
        <v>3.45</v>
      </c>
      <c r="G625" s="94">
        <f>E625*F625</f>
        <v>464.71499999999997</v>
      </c>
      <c r="H625" s="94">
        <f>E625*57</f>
        <v>7677.9</v>
      </c>
      <c r="I625" s="94"/>
      <c r="J625" s="94"/>
      <c r="K625" s="94"/>
      <c r="L625" s="94"/>
      <c r="M625" s="94"/>
      <c r="N625" s="94"/>
      <c r="O625" s="94"/>
      <c r="P625" s="94">
        <v>0</v>
      </c>
      <c r="Q625" s="73"/>
      <c r="R625" s="74"/>
      <c r="S625" s="47"/>
    </row>
    <row r="626" spans="1:19" s="2" customFormat="1" ht="39" customHeight="1" x14ac:dyDescent="0.25">
      <c r="A626" s="18"/>
      <c r="B626" s="122"/>
      <c r="C626" s="132" t="s">
        <v>50</v>
      </c>
      <c r="D626" s="100" t="s">
        <v>86</v>
      </c>
      <c r="E626" s="89">
        <f>SUM(E624:E625)</f>
        <v>2269.8399999999997</v>
      </c>
      <c r="F626" s="89"/>
      <c r="G626" s="87">
        <f t="shared" ref="G626:P626" si="209">SUM(G624:G625)</f>
        <v>7571.2212</v>
      </c>
      <c r="H626" s="87">
        <f t="shared" si="209"/>
        <v>82110.12</v>
      </c>
      <c r="I626" s="87"/>
      <c r="J626" s="87"/>
      <c r="K626" s="87"/>
      <c r="L626" s="87"/>
      <c r="M626" s="87"/>
      <c r="N626" s="87"/>
      <c r="O626" s="87"/>
      <c r="P626" s="87">
        <f t="shared" si="209"/>
        <v>71332.83</v>
      </c>
      <c r="Q626" s="76"/>
      <c r="R626" s="77"/>
      <c r="S626" s="50"/>
    </row>
    <row r="627" spans="1:19" s="2" customFormat="1" ht="30.75" customHeight="1" x14ac:dyDescent="0.25">
      <c r="A627" s="20"/>
      <c r="B627" s="129"/>
      <c r="C627" s="131" t="s">
        <v>50</v>
      </c>
      <c r="D627" s="99" t="s">
        <v>89</v>
      </c>
      <c r="E627" s="93">
        <v>212.72</v>
      </c>
      <c r="F627" s="94">
        <v>3.45</v>
      </c>
      <c r="G627" s="94">
        <f>E627*F627</f>
        <v>733.88400000000001</v>
      </c>
      <c r="H627" s="94">
        <f>E627*57</f>
        <v>12125.039999999999</v>
      </c>
      <c r="I627" s="94"/>
      <c r="J627" s="94"/>
      <c r="K627" s="94"/>
      <c r="L627" s="94"/>
      <c r="M627" s="94"/>
      <c r="N627" s="94"/>
      <c r="O627" s="94"/>
      <c r="P627" s="94">
        <v>0</v>
      </c>
      <c r="Q627" s="73"/>
      <c r="R627" s="74"/>
      <c r="S627" s="47"/>
    </row>
    <row r="628" spans="1:19" s="2" customFormat="1" ht="39" customHeight="1" x14ac:dyDescent="0.25">
      <c r="A628" s="20"/>
      <c r="B628" s="129"/>
      <c r="C628" s="131" t="s">
        <v>53</v>
      </c>
      <c r="D628" s="104"/>
      <c r="E628" s="93">
        <v>9.74</v>
      </c>
      <c r="F628" s="93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73"/>
      <c r="R628" s="74"/>
      <c r="S628" s="47"/>
    </row>
    <row r="629" spans="1:19" s="2" customFormat="1" ht="39" customHeight="1" x14ac:dyDescent="0.25">
      <c r="A629" s="18"/>
      <c r="B629" s="122"/>
      <c r="C629" s="132" t="s">
        <v>50</v>
      </c>
      <c r="D629" s="100" t="s">
        <v>90</v>
      </c>
      <c r="E629" s="89">
        <f>SUM(E626:E628)</f>
        <v>2492.2999999999993</v>
      </c>
      <c r="F629" s="89"/>
      <c r="G629" s="87">
        <f t="shared" ref="G629:P629" si="210">SUM(G626:G628)</f>
        <v>8305.1052</v>
      </c>
      <c r="H629" s="87">
        <f t="shared" si="210"/>
        <v>94235.159999999989</v>
      </c>
      <c r="I629" s="87"/>
      <c r="J629" s="87"/>
      <c r="K629" s="87"/>
      <c r="L629" s="87"/>
      <c r="M629" s="87"/>
      <c r="N629" s="87"/>
      <c r="O629" s="87"/>
      <c r="P629" s="87">
        <f t="shared" si="210"/>
        <v>71332.83</v>
      </c>
      <c r="Q629" s="76"/>
      <c r="R629" s="77"/>
      <c r="S629" s="50"/>
    </row>
    <row r="630" spans="1:19" s="2" customFormat="1" ht="33" customHeight="1" x14ac:dyDescent="0.25">
      <c r="A630" s="20"/>
      <c r="B630" s="129"/>
      <c r="C630" s="131" t="s">
        <v>50</v>
      </c>
      <c r="D630" s="99" t="s">
        <v>93</v>
      </c>
      <c r="E630" s="93">
        <v>174.28</v>
      </c>
      <c r="F630" s="94">
        <v>3.45</v>
      </c>
      <c r="G630" s="94">
        <f>E630*F630</f>
        <v>601.26600000000008</v>
      </c>
      <c r="H630" s="94">
        <f>E630*57</f>
        <v>9933.9600000000009</v>
      </c>
      <c r="I630" s="94"/>
      <c r="J630" s="94"/>
      <c r="K630" s="94"/>
      <c r="L630" s="94"/>
      <c r="M630" s="94"/>
      <c r="N630" s="94"/>
      <c r="O630" s="94"/>
      <c r="P630" s="94">
        <v>0</v>
      </c>
      <c r="Q630" s="73"/>
      <c r="R630" s="74"/>
      <c r="S630" s="47"/>
    </row>
    <row r="631" spans="1:19" s="2" customFormat="1" ht="39" customHeight="1" x14ac:dyDescent="0.25">
      <c r="A631" s="18"/>
      <c r="B631" s="122"/>
      <c r="C631" s="132" t="s">
        <v>50</v>
      </c>
      <c r="D631" s="100" t="s">
        <v>94</v>
      </c>
      <c r="E631" s="89">
        <f>SUM(E629:E630)</f>
        <v>2666.5799999999995</v>
      </c>
      <c r="F631" s="89"/>
      <c r="G631" s="87">
        <f>SUM(G629:G630)</f>
        <v>8906.3711999999996</v>
      </c>
      <c r="H631" s="87">
        <f t="shared" ref="H631" si="211">SUM(H629:H630)</f>
        <v>104169.12</v>
      </c>
      <c r="I631" s="87"/>
      <c r="J631" s="87"/>
      <c r="K631" s="87"/>
      <c r="L631" s="87"/>
      <c r="M631" s="87"/>
      <c r="N631" s="89"/>
      <c r="O631" s="87"/>
      <c r="P631" s="87">
        <v>71332.83</v>
      </c>
      <c r="Q631" s="76"/>
      <c r="R631" s="77"/>
      <c r="S631" s="50"/>
    </row>
    <row r="632" spans="1:19" s="2" customFormat="1" ht="91.5" customHeight="1" x14ac:dyDescent="0.25">
      <c r="A632" s="20"/>
      <c r="B632" s="129"/>
      <c r="C632" s="131" t="s">
        <v>50</v>
      </c>
      <c r="D632" s="99" t="s">
        <v>96</v>
      </c>
      <c r="E632" s="93">
        <v>152.91999999999999</v>
      </c>
      <c r="F632" s="94">
        <v>5.6</v>
      </c>
      <c r="G632" s="94">
        <f>E632*F632</f>
        <v>856.35199999999986</v>
      </c>
      <c r="H632" s="94">
        <v>13992.84</v>
      </c>
      <c r="I632" s="94"/>
      <c r="J632" s="94"/>
      <c r="K632" s="94"/>
      <c r="L632" s="94"/>
      <c r="M632" s="94"/>
      <c r="N632" s="93"/>
      <c r="O632" s="94"/>
      <c r="P632" s="94" t="s">
        <v>118</v>
      </c>
      <c r="Q632" s="73"/>
      <c r="R632" s="74"/>
      <c r="S632" s="217" t="s">
        <v>99</v>
      </c>
    </row>
    <row r="633" spans="1:19" s="2" customFormat="1" ht="39" customHeight="1" x14ac:dyDescent="0.25">
      <c r="A633" s="18"/>
      <c r="B633" s="122"/>
      <c r="C633" s="132" t="s">
        <v>50</v>
      </c>
      <c r="D633" s="100" t="s">
        <v>97</v>
      </c>
      <c r="E633" s="89">
        <f>SUM(E631:E632)</f>
        <v>2819.4999999999995</v>
      </c>
      <c r="F633" s="89"/>
      <c r="G633" s="87">
        <f t="shared" ref="G633:H633" si="212">SUM(G631:G632)</f>
        <v>9762.7232000000004</v>
      </c>
      <c r="H633" s="87">
        <f t="shared" si="212"/>
        <v>118161.95999999999</v>
      </c>
      <c r="I633" s="87"/>
      <c r="J633" s="87"/>
      <c r="K633" s="87"/>
      <c r="L633" s="87"/>
      <c r="M633" s="87"/>
      <c r="N633" s="87"/>
      <c r="O633" s="87"/>
      <c r="P633" s="221" t="s">
        <v>134</v>
      </c>
      <c r="Q633" s="76"/>
      <c r="R633" s="77"/>
      <c r="S633" s="50"/>
    </row>
    <row r="634" spans="1:19" s="2" customFormat="1" ht="27.75" customHeight="1" x14ac:dyDescent="0.25">
      <c r="A634" s="20"/>
      <c r="B634" s="129"/>
      <c r="C634" s="131" t="s">
        <v>50</v>
      </c>
      <c r="D634" s="99" t="s">
        <v>119</v>
      </c>
      <c r="E634" s="93">
        <v>201.04</v>
      </c>
      <c r="F634" s="94">
        <v>5.6</v>
      </c>
      <c r="G634" s="94">
        <f>E634*F634</f>
        <v>1125.8239999999998</v>
      </c>
      <c r="H634" s="94">
        <f>E634*69</f>
        <v>13871.76</v>
      </c>
      <c r="I634" s="94"/>
      <c r="J634" s="94"/>
      <c r="K634" s="94"/>
      <c r="L634" s="94"/>
      <c r="M634" s="94"/>
      <c r="N634" s="94"/>
      <c r="O634" s="94"/>
      <c r="P634" s="220" t="s">
        <v>129</v>
      </c>
      <c r="Q634" s="73"/>
      <c r="R634" s="74"/>
      <c r="S634" s="47"/>
    </row>
    <row r="635" spans="1:19" s="2" customFormat="1" ht="39" customHeight="1" x14ac:dyDescent="0.25">
      <c r="A635" s="18"/>
      <c r="B635" s="122"/>
      <c r="C635" s="132" t="s">
        <v>50</v>
      </c>
      <c r="D635" s="100" t="s">
        <v>120</v>
      </c>
      <c r="E635" s="89">
        <f>SUM(E633:E634)</f>
        <v>3020.5399999999995</v>
      </c>
      <c r="F635" s="89"/>
      <c r="G635" s="87">
        <f t="shared" ref="G635:H635" si="213">SUM(G633:G634)</f>
        <v>10888.547200000001</v>
      </c>
      <c r="H635" s="87">
        <f t="shared" si="213"/>
        <v>132033.72</v>
      </c>
      <c r="I635" s="87"/>
      <c r="J635" s="87"/>
      <c r="K635" s="87"/>
      <c r="L635" s="87"/>
      <c r="M635" s="87"/>
      <c r="N635" s="87"/>
      <c r="O635" s="87"/>
      <c r="P635" s="221" t="s">
        <v>135</v>
      </c>
      <c r="Q635" s="76"/>
      <c r="R635" s="77"/>
      <c r="S635" s="50"/>
    </row>
    <row r="636" spans="1:19" s="2" customFormat="1" ht="39" customHeight="1" x14ac:dyDescent="0.25">
      <c r="A636" s="20"/>
      <c r="B636" s="129"/>
      <c r="C636" s="131" t="s">
        <v>50</v>
      </c>
      <c r="D636" s="99" t="s">
        <v>139</v>
      </c>
      <c r="E636" s="93">
        <v>231.24</v>
      </c>
      <c r="F636" s="94">
        <v>5.6</v>
      </c>
      <c r="G636" s="94">
        <f>SUM(E636*F636)</f>
        <v>1294.944</v>
      </c>
      <c r="H636" s="94">
        <f>SUM(E636*69)</f>
        <v>15955.560000000001</v>
      </c>
      <c r="I636" s="94"/>
      <c r="J636" s="94"/>
      <c r="K636" s="94"/>
      <c r="L636" s="94"/>
      <c r="M636" s="94"/>
      <c r="N636" s="94"/>
      <c r="O636" s="94"/>
      <c r="P636" s="220" t="s">
        <v>160</v>
      </c>
      <c r="Q636" s="73"/>
      <c r="R636" s="74"/>
      <c r="S636" s="47"/>
    </row>
    <row r="637" spans="1:19" s="2" customFormat="1" ht="39" customHeight="1" x14ac:dyDescent="0.25">
      <c r="A637" s="18"/>
      <c r="B637" s="122"/>
      <c r="C637" s="132" t="s">
        <v>50</v>
      </c>
      <c r="D637" s="100" t="s">
        <v>140</v>
      </c>
      <c r="E637" s="89">
        <f>SUM(E635:E636)</f>
        <v>3251.7799999999997</v>
      </c>
      <c r="F637" s="89"/>
      <c r="G637" s="87">
        <f t="shared" ref="G637:H637" si="214">SUM(G635:G636)</f>
        <v>12183.4912</v>
      </c>
      <c r="H637" s="87">
        <f t="shared" si="214"/>
        <v>147989.28</v>
      </c>
      <c r="I637" s="87"/>
      <c r="J637" s="87"/>
      <c r="K637" s="87"/>
      <c r="L637" s="87"/>
      <c r="M637" s="87"/>
      <c r="N637" s="87"/>
      <c r="O637" s="87"/>
      <c r="P637" s="221" t="s">
        <v>143</v>
      </c>
      <c r="Q637" s="76"/>
      <c r="R637" s="77"/>
      <c r="S637" s="50"/>
    </row>
    <row r="638" spans="1:19" s="2" customFormat="1" ht="39" customHeight="1" x14ac:dyDescent="0.25">
      <c r="A638" s="20"/>
      <c r="B638" s="129"/>
      <c r="C638" s="131" t="s">
        <v>50</v>
      </c>
      <c r="D638" s="99" t="s">
        <v>144</v>
      </c>
      <c r="E638" s="93">
        <v>200.18</v>
      </c>
      <c r="F638" s="94">
        <v>5.6</v>
      </c>
      <c r="G638" s="94">
        <v>1121.008</v>
      </c>
      <c r="H638" s="94">
        <v>13812.42</v>
      </c>
      <c r="I638" s="94"/>
      <c r="J638" s="94"/>
      <c r="K638" s="94"/>
      <c r="L638" s="94"/>
      <c r="M638" s="94"/>
      <c r="N638" s="94"/>
      <c r="O638" s="94"/>
      <c r="P638" s="220" t="s">
        <v>157</v>
      </c>
      <c r="Q638" s="73"/>
      <c r="R638" s="74"/>
      <c r="S638" s="47"/>
    </row>
    <row r="639" spans="1:19" s="2" customFormat="1" ht="39" customHeight="1" x14ac:dyDescent="0.25">
      <c r="A639" s="18"/>
      <c r="B639" s="122"/>
      <c r="C639" s="132" t="s">
        <v>50</v>
      </c>
      <c r="D639" s="100" t="s">
        <v>145</v>
      </c>
      <c r="E639" s="89">
        <f>SUM(E637:E638)</f>
        <v>3451.9599999999996</v>
      </c>
      <c r="F639" s="89"/>
      <c r="G639" s="87">
        <f t="shared" ref="G639:H639" si="215">SUM(G637:G638)</f>
        <v>13304.4992</v>
      </c>
      <c r="H639" s="87">
        <f t="shared" si="215"/>
        <v>161801.70000000001</v>
      </c>
      <c r="I639" s="87"/>
      <c r="J639" s="87"/>
      <c r="K639" s="87"/>
      <c r="L639" s="87"/>
      <c r="M639" s="87"/>
      <c r="N639" s="87"/>
      <c r="O639" s="87"/>
      <c r="P639" s="221" t="s">
        <v>164</v>
      </c>
      <c r="Q639" s="76"/>
      <c r="R639" s="77"/>
      <c r="S639" s="50"/>
    </row>
    <row r="640" spans="1:19" s="2" customFormat="1" ht="39" customHeight="1" x14ac:dyDescent="0.25">
      <c r="A640" s="20"/>
      <c r="B640" s="129"/>
      <c r="C640" s="131" t="s">
        <v>50</v>
      </c>
      <c r="D640" s="99" t="s">
        <v>165</v>
      </c>
      <c r="E640" s="93">
        <v>147.12</v>
      </c>
      <c r="F640" s="94">
        <v>5.6</v>
      </c>
      <c r="G640" s="94">
        <f>E640*F640</f>
        <v>823.87199999999996</v>
      </c>
      <c r="H640" s="94">
        <f>E640*82</f>
        <v>12063.84</v>
      </c>
      <c r="I640" s="94"/>
      <c r="J640" s="94"/>
      <c r="K640" s="94"/>
      <c r="L640" s="94"/>
      <c r="M640" s="94"/>
      <c r="N640" s="94"/>
      <c r="O640" s="94"/>
      <c r="P640" s="220" t="s">
        <v>186</v>
      </c>
      <c r="Q640" s="73"/>
      <c r="R640" s="74"/>
      <c r="S640" s="47"/>
    </row>
    <row r="641" spans="1:19" s="2" customFormat="1" ht="39" customHeight="1" x14ac:dyDescent="0.25">
      <c r="A641" s="18"/>
      <c r="B641" s="122"/>
      <c r="C641" s="132" t="s">
        <v>50</v>
      </c>
      <c r="D641" s="100" t="s">
        <v>188</v>
      </c>
      <c r="E641" s="89">
        <f>SUM(E639:E640)</f>
        <v>3599.0799999999995</v>
      </c>
      <c r="F641" s="89"/>
      <c r="G641" s="87">
        <f t="shared" ref="G641:H641" si="216">SUM(G639:G640)</f>
        <v>14128.3712</v>
      </c>
      <c r="H641" s="87">
        <f t="shared" si="216"/>
        <v>173865.54</v>
      </c>
      <c r="I641" s="87"/>
      <c r="J641" s="87"/>
      <c r="K641" s="87"/>
      <c r="L641" s="87"/>
      <c r="M641" s="87"/>
      <c r="N641" s="87"/>
      <c r="O641" s="87"/>
      <c r="P641" s="221" t="s">
        <v>187</v>
      </c>
      <c r="Q641" s="76"/>
      <c r="R641" s="77"/>
      <c r="S641" s="50"/>
    </row>
    <row r="642" spans="1:19" s="2" customFormat="1" ht="39" customHeight="1" x14ac:dyDescent="0.25">
      <c r="A642" s="20"/>
      <c r="B642" s="129"/>
      <c r="C642" s="131" t="s">
        <v>50</v>
      </c>
      <c r="D642" s="99" t="s">
        <v>166</v>
      </c>
      <c r="E642" s="93">
        <v>203.06</v>
      </c>
      <c r="F642" s="94">
        <v>5.6</v>
      </c>
      <c r="G642" s="94">
        <f>68.42*5.6</f>
        <v>383.15199999999999</v>
      </c>
      <c r="H642" s="94">
        <f>68.42*82</f>
        <v>5610.4400000000005</v>
      </c>
      <c r="I642" s="94">
        <f>134.64*5.6</f>
        <v>753.98399999999992</v>
      </c>
      <c r="J642" s="94">
        <f>134.64*82</f>
        <v>11040.48</v>
      </c>
      <c r="K642" s="94"/>
      <c r="L642" s="94"/>
      <c r="M642" s="94"/>
      <c r="N642" s="94"/>
      <c r="O642" s="94"/>
      <c r="P642" s="220">
        <v>0</v>
      </c>
      <c r="Q642" s="73"/>
      <c r="R642" s="74"/>
      <c r="S642" s="47"/>
    </row>
    <row r="643" spans="1:19" s="2" customFormat="1" ht="39" customHeight="1" x14ac:dyDescent="0.25">
      <c r="A643" s="18"/>
      <c r="B643" s="122"/>
      <c r="C643" s="132" t="s">
        <v>50</v>
      </c>
      <c r="D643" s="100" t="s">
        <v>168</v>
      </c>
      <c r="E643" s="89">
        <f>SUM(E641:E642)</f>
        <v>3802.1399999999994</v>
      </c>
      <c r="F643" s="89"/>
      <c r="G643" s="87">
        <f t="shared" ref="G643:J643" si="217">SUM(G641:G642)</f>
        <v>14511.5232</v>
      </c>
      <c r="H643" s="87">
        <f t="shared" si="217"/>
        <v>179475.98</v>
      </c>
      <c r="I643" s="87">
        <f t="shared" si="217"/>
        <v>753.98399999999992</v>
      </c>
      <c r="J643" s="87">
        <f t="shared" si="217"/>
        <v>11040.48</v>
      </c>
      <c r="K643" s="87"/>
      <c r="L643" s="87"/>
      <c r="M643" s="87"/>
      <c r="N643" s="87"/>
      <c r="O643" s="87"/>
      <c r="P643" s="221" t="s">
        <v>187</v>
      </c>
      <c r="Q643" s="76"/>
      <c r="R643" s="77"/>
      <c r="S643" s="50"/>
    </row>
    <row r="644" spans="1:19" s="236" customFormat="1" ht="39" customHeight="1" x14ac:dyDescent="0.25">
      <c r="A644" s="230"/>
      <c r="B644" s="237"/>
      <c r="C644" s="131" t="s">
        <v>50</v>
      </c>
      <c r="D644" s="99" t="s">
        <v>195</v>
      </c>
      <c r="E644" s="231">
        <v>228.6</v>
      </c>
      <c r="F644" s="94">
        <v>5.6</v>
      </c>
      <c r="G644" s="94">
        <f>134.64*5.6</f>
        <v>753.98399999999992</v>
      </c>
      <c r="H644" s="94">
        <f>134.64*82</f>
        <v>11040.48</v>
      </c>
      <c r="I644" s="232">
        <f>E644*5.6</f>
        <v>1280.1599999999999</v>
      </c>
      <c r="J644" s="232">
        <f>E644*82</f>
        <v>18745.2</v>
      </c>
      <c r="K644" s="232"/>
      <c r="L644" s="232"/>
      <c r="M644" s="232"/>
      <c r="N644" s="232"/>
      <c r="O644" s="232"/>
      <c r="P644" s="220">
        <v>0</v>
      </c>
      <c r="Q644" s="247"/>
      <c r="R644" s="248"/>
      <c r="S644" s="235"/>
    </row>
    <row r="645" spans="1:19" s="2" customFormat="1" ht="39" customHeight="1" x14ac:dyDescent="0.25">
      <c r="A645" s="18"/>
      <c r="B645" s="122"/>
      <c r="C645" s="132" t="s">
        <v>50</v>
      </c>
      <c r="D645" s="100" t="s">
        <v>196</v>
      </c>
      <c r="E645" s="89">
        <f>SUM(E643:E644)</f>
        <v>4030.7399999999993</v>
      </c>
      <c r="F645" s="89"/>
      <c r="G645" s="87">
        <f>SUM(G643:G644)</f>
        <v>15265.5072</v>
      </c>
      <c r="H645" s="87">
        <f>SUM(H643:H644)</f>
        <v>190516.46000000002</v>
      </c>
      <c r="I645" s="87">
        <v>1280.1600000000001</v>
      </c>
      <c r="J645" s="87">
        <v>18745.2</v>
      </c>
      <c r="K645" s="87"/>
      <c r="L645" s="87"/>
      <c r="M645" s="87"/>
      <c r="N645" s="87"/>
      <c r="O645" s="87"/>
      <c r="P645" s="221" t="s">
        <v>187</v>
      </c>
      <c r="Q645" s="76"/>
      <c r="R645" s="77"/>
      <c r="S645" s="50"/>
    </row>
    <row r="646" spans="1:19" s="236" customFormat="1" ht="39" customHeight="1" x14ac:dyDescent="0.25">
      <c r="A646" s="230"/>
      <c r="B646" s="237"/>
      <c r="C646" s="131" t="s">
        <v>50</v>
      </c>
      <c r="D646" s="99" t="s">
        <v>201</v>
      </c>
      <c r="E646" s="231">
        <v>187.98</v>
      </c>
      <c r="F646" s="94">
        <v>5.6</v>
      </c>
      <c r="G646" s="232">
        <f>302.66*5.6</f>
        <v>1694.896</v>
      </c>
      <c r="H646" s="232">
        <f>302.66*82</f>
        <v>24818.120000000003</v>
      </c>
      <c r="I646" s="232">
        <f>113.92*5.6</f>
        <v>637.952</v>
      </c>
      <c r="J646" s="232">
        <f>113.92*82</f>
        <v>9341.44</v>
      </c>
      <c r="K646" s="232"/>
      <c r="L646" s="232"/>
      <c r="M646" s="232"/>
      <c r="N646" s="232"/>
      <c r="O646" s="232"/>
      <c r="P646" s="220">
        <v>0</v>
      </c>
      <c r="Q646" s="247"/>
      <c r="R646" s="248"/>
      <c r="S646" s="235"/>
    </row>
    <row r="647" spans="1:19" s="2" customFormat="1" ht="39" customHeight="1" x14ac:dyDescent="0.25">
      <c r="A647" s="18"/>
      <c r="B647" s="122"/>
      <c r="C647" s="132" t="s">
        <v>50</v>
      </c>
      <c r="D647" s="100" t="s">
        <v>202</v>
      </c>
      <c r="E647" s="89">
        <f>SUM(E645:E646)</f>
        <v>4218.7199999999993</v>
      </c>
      <c r="F647" s="89"/>
      <c r="G647" s="87">
        <f>SUM(G645:G646)</f>
        <v>16960.403200000001</v>
      </c>
      <c r="H647" s="87">
        <f>SUM(H645:H646)</f>
        <v>215334.58000000002</v>
      </c>
      <c r="I647" s="87">
        <v>637.95000000000005</v>
      </c>
      <c r="J647" s="87">
        <v>9341.44</v>
      </c>
      <c r="K647" s="87"/>
      <c r="L647" s="87"/>
      <c r="M647" s="87"/>
      <c r="N647" s="87"/>
      <c r="O647" s="87"/>
      <c r="P647" s="221" t="s">
        <v>187</v>
      </c>
      <c r="Q647" s="76"/>
      <c r="R647" s="77"/>
      <c r="S647" s="50"/>
    </row>
    <row r="648" spans="1:19" s="236" customFormat="1" ht="39" customHeight="1" x14ac:dyDescent="0.25">
      <c r="A648" s="230"/>
      <c r="B648" s="237"/>
      <c r="C648" s="131" t="s">
        <v>50</v>
      </c>
      <c r="D648" s="99" t="s">
        <v>208</v>
      </c>
      <c r="E648" s="231">
        <v>147.96</v>
      </c>
      <c r="F648" s="94">
        <v>5.6</v>
      </c>
      <c r="G648" s="232"/>
      <c r="H648" s="232"/>
      <c r="I648" s="232">
        <f>147.96*5.6</f>
        <v>828.57600000000002</v>
      </c>
      <c r="J648" s="232">
        <f>147.96*95</f>
        <v>14056.2</v>
      </c>
      <c r="K648" s="232"/>
      <c r="L648" s="232"/>
      <c r="M648" s="232"/>
      <c r="N648" s="232"/>
      <c r="O648" s="232"/>
      <c r="P648" s="233"/>
      <c r="Q648" s="247"/>
      <c r="R648" s="248"/>
      <c r="S648" s="235"/>
    </row>
    <row r="649" spans="1:19" s="2" customFormat="1" ht="39" customHeight="1" x14ac:dyDescent="0.25">
      <c r="A649" s="18"/>
      <c r="B649" s="122"/>
      <c r="C649" s="132" t="s">
        <v>50</v>
      </c>
      <c r="D649" s="100" t="s">
        <v>209</v>
      </c>
      <c r="E649" s="89">
        <f>SUM(E647:E648)</f>
        <v>4366.6799999999994</v>
      </c>
      <c r="F649" s="89"/>
      <c r="G649" s="87">
        <f>SUM(G647:G648)</f>
        <v>16960.403200000001</v>
      </c>
      <c r="H649" s="87">
        <f>SUM(H647:H648)</f>
        <v>215334.58000000002</v>
      </c>
      <c r="I649" s="87">
        <f>SUM(I647:I648)</f>
        <v>1466.5260000000001</v>
      </c>
      <c r="J649" s="87">
        <f>SUM(J647:J648)</f>
        <v>23397.64</v>
      </c>
      <c r="K649" s="87"/>
      <c r="L649" s="87"/>
      <c r="M649" s="87"/>
      <c r="N649" s="87"/>
      <c r="O649" s="87"/>
      <c r="P649" s="221" t="s">
        <v>187</v>
      </c>
      <c r="Q649" s="76"/>
      <c r="R649" s="77"/>
      <c r="S649" s="50"/>
    </row>
    <row r="650" spans="1:19" s="236" customFormat="1" ht="39" customHeight="1" x14ac:dyDescent="0.25">
      <c r="A650" s="230"/>
      <c r="B650" s="237"/>
      <c r="C650" s="131" t="s">
        <v>50</v>
      </c>
      <c r="D650" s="99" t="s">
        <v>216</v>
      </c>
      <c r="E650" s="231">
        <v>201.89</v>
      </c>
      <c r="F650" s="231"/>
      <c r="G650" s="232">
        <f>204.68*5.6</f>
        <v>1146.2079999999999</v>
      </c>
      <c r="H650" s="232">
        <f>9341.44+90.76*95</f>
        <v>17963.64</v>
      </c>
      <c r="I650" s="232">
        <f>259.09*5.6</f>
        <v>1450.9039999999998</v>
      </c>
      <c r="J650" s="232">
        <f>259.09*95</f>
        <v>24613.55</v>
      </c>
      <c r="K650" s="232"/>
      <c r="L650" s="232"/>
      <c r="M650" s="232"/>
      <c r="N650" s="232"/>
      <c r="O650" s="232"/>
      <c r="P650" s="233"/>
      <c r="Q650" s="247"/>
      <c r="R650" s="248"/>
      <c r="S650" s="235"/>
    </row>
    <row r="651" spans="1:19" s="2" customFormat="1" ht="39" customHeight="1" x14ac:dyDescent="0.25">
      <c r="A651" s="18"/>
      <c r="B651" s="122"/>
      <c r="C651" s="132" t="s">
        <v>50</v>
      </c>
      <c r="D651" s="100" t="s">
        <v>217</v>
      </c>
      <c r="E651" s="89">
        <f>SUM(E649:E650)</f>
        <v>4568.57</v>
      </c>
      <c r="F651" s="89"/>
      <c r="G651" s="87">
        <f>SUM(G649:G650)</f>
        <v>18106.611199999999</v>
      </c>
      <c r="H651" s="87">
        <f>SUM(H649:H650)</f>
        <v>233298.22000000003</v>
      </c>
      <c r="I651" s="87">
        <v>1450.9</v>
      </c>
      <c r="J651" s="87">
        <v>24613.55</v>
      </c>
      <c r="K651" s="87"/>
      <c r="L651" s="87"/>
      <c r="M651" s="87"/>
      <c r="N651" s="87"/>
      <c r="O651" s="87"/>
      <c r="P651" s="221" t="s">
        <v>187</v>
      </c>
      <c r="Q651" s="76"/>
      <c r="R651" s="77"/>
      <c r="S651" s="50"/>
    </row>
    <row r="652" spans="1:19" x14ac:dyDescent="0.25">
      <c r="A652" s="26"/>
      <c r="B652" s="26"/>
      <c r="C652" s="26"/>
      <c r="D652" s="37"/>
      <c r="E652" s="78"/>
      <c r="F652" s="79"/>
      <c r="G652" s="79"/>
      <c r="H652" s="79"/>
      <c r="I652" s="79"/>
      <c r="J652" s="79"/>
      <c r="K652" s="37"/>
      <c r="L652" s="37"/>
      <c r="M652" s="37"/>
      <c r="N652" s="37"/>
      <c r="O652" s="37"/>
      <c r="P652" s="37"/>
      <c r="Q652" s="37"/>
      <c r="R652" s="80"/>
      <c r="S652" s="55"/>
    </row>
    <row r="653" spans="1:19" ht="42" customHeight="1" x14ac:dyDescent="0.25">
      <c r="A653" s="16"/>
      <c r="B653" s="168" t="s">
        <v>51</v>
      </c>
      <c r="C653" s="169" t="s">
        <v>52</v>
      </c>
      <c r="D653" s="160">
        <v>2011</v>
      </c>
      <c r="E653" s="161">
        <v>567</v>
      </c>
      <c r="F653" s="141">
        <v>3.67</v>
      </c>
      <c r="G653" s="94">
        <v>2627.72</v>
      </c>
      <c r="H653" s="94">
        <v>3402</v>
      </c>
      <c r="I653" s="84"/>
      <c r="J653" s="84"/>
      <c r="K653" s="84"/>
      <c r="L653" s="119"/>
      <c r="M653" s="119"/>
      <c r="N653" s="119"/>
      <c r="O653" s="119"/>
      <c r="P653" s="84">
        <v>0</v>
      </c>
      <c r="Q653" s="38"/>
      <c r="R653" s="75"/>
      <c r="S653" s="51"/>
    </row>
    <row r="654" spans="1:19" x14ac:dyDescent="0.25">
      <c r="A654" s="16"/>
      <c r="B654" s="170"/>
      <c r="C654" s="169" t="s">
        <v>52</v>
      </c>
      <c r="D654" s="160">
        <v>2012</v>
      </c>
      <c r="E654" s="161">
        <v>695</v>
      </c>
      <c r="F654" s="141">
        <v>7.6</v>
      </c>
      <c r="G654" s="94">
        <v>5031.78</v>
      </c>
      <c r="H654" s="94">
        <v>9552</v>
      </c>
      <c r="I654" s="84"/>
      <c r="J654" s="84"/>
      <c r="K654" s="84"/>
      <c r="L654" s="119"/>
      <c r="M654" s="119"/>
      <c r="N654" s="119"/>
      <c r="O654" s="119"/>
      <c r="P654" s="84">
        <v>0</v>
      </c>
      <c r="Q654" s="38"/>
      <c r="R654" s="75"/>
      <c r="S654" s="51"/>
    </row>
    <row r="655" spans="1:19" ht="36.75" customHeight="1" x14ac:dyDescent="0.25">
      <c r="A655" s="18"/>
      <c r="B655" s="171"/>
      <c r="C655" s="172" t="s">
        <v>52</v>
      </c>
      <c r="D655" s="96" t="s">
        <v>25</v>
      </c>
      <c r="E655" s="89">
        <f>SUM(E653:E654)</f>
        <v>1262</v>
      </c>
      <c r="F655" s="87"/>
      <c r="G655" s="87">
        <f>SUM(G653:G654)</f>
        <v>7659.5</v>
      </c>
      <c r="H655" s="87">
        <f t="shared" ref="H655" si="218">SUM(H653:H654)</f>
        <v>12954</v>
      </c>
      <c r="I655" s="87"/>
      <c r="J655" s="87"/>
      <c r="K655" s="87"/>
      <c r="L655" s="122"/>
      <c r="M655" s="122"/>
      <c r="N655" s="122"/>
      <c r="O655" s="122"/>
      <c r="P655" s="87">
        <v>0</v>
      </c>
      <c r="Q655" s="76"/>
      <c r="R655" s="77"/>
      <c r="S655" s="50"/>
    </row>
    <row r="656" spans="1:19" x14ac:dyDescent="0.25">
      <c r="A656" s="16"/>
      <c r="B656" s="170"/>
      <c r="C656" s="169" t="s">
        <v>52</v>
      </c>
      <c r="D656" s="160">
        <v>2013</v>
      </c>
      <c r="E656" s="161">
        <v>700</v>
      </c>
      <c r="F656" s="141">
        <v>7.6</v>
      </c>
      <c r="G656" s="94">
        <v>5335.2</v>
      </c>
      <c r="H656" s="94">
        <v>18246</v>
      </c>
      <c r="I656" s="84"/>
      <c r="J656" s="84"/>
      <c r="K656" s="84"/>
      <c r="L656" s="119"/>
      <c r="M656" s="119"/>
      <c r="N656" s="119"/>
      <c r="O656" s="119"/>
      <c r="P656" s="84">
        <v>0</v>
      </c>
      <c r="Q656" s="38"/>
      <c r="R656" s="75"/>
      <c r="S656" s="51"/>
    </row>
    <row r="657" spans="1:22" ht="39.75" customHeight="1" x14ac:dyDescent="0.25">
      <c r="A657" s="18"/>
      <c r="B657" s="171"/>
      <c r="C657" s="172" t="s">
        <v>52</v>
      </c>
      <c r="D657" s="96" t="s">
        <v>38</v>
      </c>
      <c r="E657" s="89">
        <f>SUM(E655:E656)</f>
        <v>1962</v>
      </c>
      <c r="F657" s="87"/>
      <c r="G657" s="87">
        <f>SUM(G655:G656)</f>
        <v>12994.7</v>
      </c>
      <c r="H657" s="87">
        <f t="shared" ref="H657" si="219">SUM(H655:H656)</f>
        <v>31200</v>
      </c>
      <c r="I657" s="87"/>
      <c r="J657" s="87"/>
      <c r="K657" s="87"/>
      <c r="L657" s="122"/>
      <c r="M657" s="122"/>
      <c r="N657" s="122"/>
      <c r="O657" s="122"/>
      <c r="P657" s="87">
        <v>0</v>
      </c>
      <c r="Q657" s="76"/>
      <c r="R657" s="77"/>
      <c r="S657" s="50"/>
    </row>
    <row r="658" spans="1:22" x14ac:dyDescent="0.25">
      <c r="A658" s="16"/>
      <c r="B658" s="119"/>
      <c r="C658" s="169" t="s">
        <v>52</v>
      </c>
      <c r="D658" s="160">
        <v>2014</v>
      </c>
      <c r="E658" s="161">
        <v>694</v>
      </c>
      <c r="F658" s="141">
        <v>7.6</v>
      </c>
      <c r="G658" s="94">
        <v>5274.4</v>
      </c>
      <c r="H658" s="94">
        <v>20944</v>
      </c>
      <c r="I658" s="84"/>
      <c r="J658" s="84"/>
      <c r="K658" s="84"/>
      <c r="L658" s="119"/>
      <c r="M658" s="119"/>
      <c r="N658" s="119"/>
      <c r="O658" s="119"/>
      <c r="P658" s="84">
        <v>0</v>
      </c>
      <c r="Q658" s="38"/>
      <c r="R658" s="75"/>
      <c r="S658" s="51"/>
    </row>
    <row r="659" spans="1:22" ht="38.25" customHeight="1" x14ac:dyDescent="0.25">
      <c r="A659" s="18"/>
      <c r="B659" s="122"/>
      <c r="C659" s="172" t="s">
        <v>52</v>
      </c>
      <c r="D659" s="96" t="s">
        <v>24</v>
      </c>
      <c r="E659" s="89">
        <f>SUM(E657:E658)</f>
        <v>2656</v>
      </c>
      <c r="F659" s="87"/>
      <c r="G659" s="87">
        <f>SUM(G657:G658)</f>
        <v>18269.099999999999</v>
      </c>
      <c r="H659" s="87">
        <f t="shared" ref="H659" si="220">SUM(H657:H658)</f>
        <v>52144</v>
      </c>
      <c r="I659" s="87"/>
      <c r="J659" s="87"/>
      <c r="K659" s="87"/>
      <c r="L659" s="122"/>
      <c r="M659" s="122"/>
      <c r="N659" s="122"/>
      <c r="O659" s="122"/>
      <c r="P659" s="87">
        <v>0</v>
      </c>
      <c r="Q659" s="76"/>
      <c r="R659" s="77"/>
      <c r="S659" s="50"/>
    </row>
    <row r="660" spans="1:22" x14ac:dyDescent="0.25">
      <c r="A660" s="16"/>
      <c r="B660" s="119"/>
      <c r="C660" s="169" t="s">
        <v>52</v>
      </c>
      <c r="D660" s="160">
        <v>2015</v>
      </c>
      <c r="E660" s="137">
        <v>694</v>
      </c>
      <c r="F660" s="84">
        <v>25.27</v>
      </c>
      <c r="G660" s="94">
        <v>18021.12</v>
      </c>
      <c r="H660" s="94">
        <v>19090</v>
      </c>
      <c r="I660" s="84"/>
      <c r="J660" s="84"/>
      <c r="K660" s="84"/>
      <c r="L660" s="119"/>
      <c r="M660" s="119"/>
      <c r="N660" s="119"/>
      <c r="O660" s="119"/>
      <c r="P660" s="179">
        <v>69554</v>
      </c>
      <c r="Q660" s="38"/>
      <c r="R660" s="75"/>
      <c r="S660" s="51"/>
    </row>
    <row r="661" spans="1:22" ht="36.75" customHeight="1" x14ac:dyDescent="0.25">
      <c r="A661" s="18"/>
      <c r="B661" s="122"/>
      <c r="C661" s="172" t="s">
        <v>52</v>
      </c>
      <c r="D661" s="96" t="s">
        <v>26</v>
      </c>
      <c r="E661" s="89">
        <f>SUM(E659:E660)</f>
        <v>3350</v>
      </c>
      <c r="F661" s="87"/>
      <c r="G661" s="87">
        <f>SUM(G659:G660)</f>
        <v>36290.22</v>
      </c>
      <c r="H661" s="87">
        <f t="shared" ref="H661:H663" si="221">SUM(H659:H660)</f>
        <v>71234</v>
      </c>
      <c r="I661" s="87"/>
      <c r="J661" s="87"/>
      <c r="K661" s="87"/>
      <c r="L661" s="122"/>
      <c r="M661" s="122"/>
      <c r="N661" s="122"/>
      <c r="O661" s="122"/>
      <c r="P661" s="185">
        <v>69554</v>
      </c>
      <c r="Q661" s="76"/>
      <c r="R661" s="77"/>
      <c r="S661" s="50"/>
      <c r="V661" s="2"/>
    </row>
    <row r="662" spans="1:22" x14ac:dyDescent="0.25">
      <c r="A662" s="16"/>
      <c r="B662" s="119"/>
      <c r="C662" s="169" t="s">
        <v>52</v>
      </c>
      <c r="D662" s="99" t="s">
        <v>29</v>
      </c>
      <c r="E662" s="137">
        <v>174</v>
      </c>
      <c r="F662" s="153">
        <v>25.27</v>
      </c>
      <c r="G662" s="94">
        <v>4396.9799999999996</v>
      </c>
      <c r="H662" s="94">
        <v>6264</v>
      </c>
      <c r="I662" s="84"/>
      <c r="J662" s="84"/>
      <c r="K662" s="84"/>
      <c r="L662" s="119"/>
      <c r="M662" s="119"/>
      <c r="N662" s="119"/>
      <c r="O662" s="119"/>
      <c r="P662" s="84">
        <v>0</v>
      </c>
      <c r="Q662" s="38"/>
      <c r="R662" s="75"/>
      <c r="S662" s="51"/>
    </row>
    <row r="663" spans="1:22" ht="38.25" x14ac:dyDescent="0.25">
      <c r="A663" s="18"/>
      <c r="B663" s="122"/>
      <c r="C663" s="172" t="s">
        <v>52</v>
      </c>
      <c r="D663" s="100" t="s">
        <v>30</v>
      </c>
      <c r="E663" s="89">
        <f>SUM(E661:E662)</f>
        <v>3524</v>
      </c>
      <c r="F663" s="87"/>
      <c r="G663" s="87">
        <f>SUM(G661:G662)</f>
        <v>40687.199999999997</v>
      </c>
      <c r="H663" s="87">
        <f t="shared" si="221"/>
        <v>77498</v>
      </c>
      <c r="I663" s="87"/>
      <c r="J663" s="87"/>
      <c r="K663" s="87"/>
      <c r="L663" s="122"/>
      <c r="M663" s="122"/>
      <c r="N663" s="122"/>
      <c r="O663" s="122"/>
      <c r="P663" s="185">
        <v>69554</v>
      </c>
      <c r="Q663" s="76"/>
      <c r="R663" s="77"/>
      <c r="S663" s="50"/>
    </row>
    <row r="664" spans="1:22" x14ac:dyDescent="0.25">
      <c r="A664" s="16"/>
      <c r="B664" s="119"/>
      <c r="C664" s="169" t="s">
        <v>52</v>
      </c>
      <c r="D664" s="99" t="s">
        <v>31</v>
      </c>
      <c r="E664" s="137">
        <v>186</v>
      </c>
      <c r="F664" s="153">
        <v>25.27</v>
      </c>
      <c r="G664" s="94">
        <v>4700.22</v>
      </c>
      <c r="H664" s="94">
        <v>6696</v>
      </c>
      <c r="I664" s="84"/>
      <c r="J664" s="84"/>
      <c r="K664" s="84"/>
      <c r="L664" s="119"/>
      <c r="M664" s="119"/>
      <c r="N664" s="119"/>
      <c r="O664" s="119"/>
      <c r="P664" s="179">
        <v>4800</v>
      </c>
      <c r="Q664" s="38"/>
      <c r="R664" s="75"/>
      <c r="S664" s="51"/>
    </row>
    <row r="665" spans="1:22" ht="45.75" customHeight="1" x14ac:dyDescent="0.25">
      <c r="A665" s="18"/>
      <c r="B665" s="122"/>
      <c r="C665" s="172" t="s">
        <v>52</v>
      </c>
      <c r="D665" s="100" t="s">
        <v>32</v>
      </c>
      <c r="E665" s="89">
        <f>SUM(E663:E664)</f>
        <v>3710</v>
      </c>
      <c r="F665" s="87"/>
      <c r="G665" s="87">
        <f>SUM(G663:G664)</f>
        <v>45387.42</v>
      </c>
      <c r="H665" s="87">
        <f t="shared" ref="H665" si="222">SUM(H663:H664)</f>
        <v>84194</v>
      </c>
      <c r="I665" s="87"/>
      <c r="J665" s="87"/>
      <c r="K665" s="87"/>
      <c r="L665" s="122"/>
      <c r="M665" s="122"/>
      <c r="N665" s="122"/>
      <c r="O665" s="122"/>
      <c r="P665" s="185">
        <f>SUM(P663:P664)</f>
        <v>74354</v>
      </c>
      <c r="Q665" s="76"/>
      <c r="R665" s="77"/>
      <c r="S665" s="50"/>
    </row>
    <row r="666" spans="1:22" s="2" customFormat="1" ht="45.75" customHeight="1" x14ac:dyDescent="0.25">
      <c r="A666" s="20"/>
      <c r="B666" s="129"/>
      <c r="C666" s="226" t="s">
        <v>52</v>
      </c>
      <c r="D666" s="104"/>
      <c r="E666" s="93">
        <v>0</v>
      </c>
      <c r="F666" s="94"/>
      <c r="G666" s="94"/>
      <c r="H666" s="94"/>
      <c r="I666" s="94"/>
      <c r="J666" s="94"/>
      <c r="K666" s="94"/>
      <c r="L666" s="129"/>
      <c r="M666" s="129"/>
      <c r="N666" s="129"/>
      <c r="O666" s="129"/>
      <c r="P666" s="225">
        <v>8400</v>
      </c>
      <c r="Q666" s="73"/>
      <c r="R666" s="73"/>
      <c r="S666" s="47"/>
    </row>
    <row r="667" spans="1:22" s="2" customFormat="1" ht="45.75" customHeight="1" x14ac:dyDescent="0.25">
      <c r="A667" s="18"/>
      <c r="B667" s="122"/>
      <c r="C667" s="224" t="s">
        <v>52</v>
      </c>
      <c r="D667" s="100" t="s">
        <v>32</v>
      </c>
      <c r="E667" s="89">
        <v>3710</v>
      </c>
      <c r="F667" s="87"/>
      <c r="G667" s="87">
        <v>45387.42</v>
      </c>
      <c r="H667" s="87">
        <v>84194</v>
      </c>
      <c r="I667" s="87"/>
      <c r="J667" s="87"/>
      <c r="K667" s="87"/>
      <c r="L667" s="122"/>
      <c r="M667" s="122"/>
      <c r="N667" s="122"/>
      <c r="O667" s="122"/>
      <c r="P667" s="185">
        <f>P665+P666</f>
        <v>82754</v>
      </c>
      <c r="Q667" s="76"/>
      <c r="R667" s="76"/>
      <c r="S667" s="50"/>
    </row>
    <row r="668" spans="1:22" s="2" customFormat="1" ht="45.75" customHeight="1" x14ac:dyDescent="0.25">
      <c r="A668" s="251"/>
      <c r="B668" s="122"/>
      <c r="C668" s="224" t="s">
        <v>52</v>
      </c>
      <c r="D668" s="100" t="s">
        <v>215</v>
      </c>
      <c r="E668" s="224"/>
      <c r="F668" s="224"/>
      <c r="G668" s="87">
        <v>45387.42</v>
      </c>
      <c r="H668" s="87">
        <v>84194</v>
      </c>
      <c r="I668" s="224"/>
      <c r="J668" s="224"/>
      <c r="K668" s="87"/>
      <c r="L668" s="87"/>
      <c r="M668" s="87"/>
      <c r="N668" s="87"/>
      <c r="O668" s="87"/>
      <c r="P668" s="185" t="s">
        <v>214</v>
      </c>
      <c r="Q668" s="87"/>
      <c r="R668" s="87"/>
      <c r="S668" s="87"/>
    </row>
    <row r="669" spans="1:22" ht="35.25" customHeight="1" x14ac:dyDescent="0.25">
      <c r="A669" s="257" t="s">
        <v>62</v>
      </c>
      <c r="B669" s="258"/>
      <c r="C669" s="258"/>
      <c r="D669" s="258"/>
      <c r="E669" s="258"/>
      <c r="F669" s="258"/>
      <c r="G669" s="258"/>
      <c r="H669" s="258"/>
      <c r="I669" s="258"/>
      <c r="J669" s="258"/>
      <c r="K669" s="258"/>
      <c r="L669" s="258"/>
      <c r="M669" s="258"/>
      <c r="N669" s="258"/>
      <c r="O669" s="258"/>
      <c r="P669" s="258"/>
      <c r="Q669" s="258"/>
      <c r="R669" s="258"/>
      <c r="S669" s="259"/>
    </row>
    <row r="670" spans="1:22" x14ac:dyDescent="0.25">
      <c r="G670" s="192"/>
      <c r="H670" s="192"/>
    </row>
    <row r="671" spans="1:22" x14ac:dyDescent="0.25">
      <c r="G671" s="193"/>
      <c r="H671" s="193"/>
    </row>
    <row r="672" spans="1:22" x14ac:dyDescent="0.25">
      <c r="G672" s="193"/>
      <c r="H672" s="193"/>
    </row>
    <row r="673" spans="7:8" x14ac:dyDescent="0.25">
      <c r="G673" s="193"/>
      <c r="H673" s="193"/>
    </row>
    <row r="674" spans="7:8" x14ac:dyDescent="0.25">
      <c r="G674" s="193"/>
      <c r="H674" s="193"/>
    </row>
    <row r="675" spans="7:8" x14ac:dyDescent="0.25">
      <c r="G675" s="193"/>
      <c r="H675" s="193"/>
    </row>
    <row r="676" spans="7:8" x14ac:dyDescent="0.25">
      <c r="G676" s="193"/>
      <c r="H676" s="193"/>
    </row>
    <row r="677" spans="7:8" x14ac:dyDescent="0.25">
      <c r="G677" s="193"/>
      <c r="H677" s="193"/>
    </row>
    <row r="678" spans="7:8" x14ac:dyDescent="0.25">
      <c r="G678" s="193"/>
      <c r="H678" s="193"/>
    </row>
    <row r="679" spans="7:8" x14ac:dyDescent="0.25">
      <c r="G679" s="193"/>
      <c r="H679" s="193"/>
    </row>
    <row r="680" spans="7:8" x14ac:dyDescent="0.25">
      <c r="G680" s="193"/>
      <c r="H680" s="193"/>
    </row>
    <row r="681" spans="7:8" x14ac:dyDescent="0.25">
      <c r="G681" s="193"/>
      <c r="H681" s="193"/>
    </row>
    <row r="682" spans="7:8" x14ac:dyDescent="0.25">
      <c r="G682" s="193"/>
      <c r="H682" s="193"/>
    </row>
    <row r="683" spans="7:8" x14ac:dyDescent="0.25">
      <c r="G683" s="193"/>
      <c r="H683" s="193"/>
    </row>
    <row r="684" spans="7:8" x14ac:dyDescent="0.25">
      <c r="G684" s="193"/>
      <c r="H684" s="193"/>
    </row>
    <row r="685" spans="7:8" x14ac:dyDescent="0.25">
      <c r="G685" s="193"/>
      <c r="H685" s="193"/>
    </row>
    <row r="686" spans="7:8" x14ac:dyDescent="0.25">
      <c r="G686" s="193"/>
      <c r="H686" s="193"/>
    </row>
    <row r="687" spans="7:8" x14ac:dyDescent="0.25">
      <c r="G687" s="193"/>
      <c r="H687" s="193"/>
    </row>
    <row r="688" spans="7:8" x14ac:dyDescent="0.25">
      <c r="G688" s="193"/>
      <c r="H688" s="193"/>
    </row>
    <row r="689" spans="7:8" x14ac:dyDescent="0.25">
      <c r="G689" s="193"/>
      <c r="H689" s="193"/>
    </row>
    <row r="690" spans="7:8" x14ac:dyDescent="0.25">
      <c r="G690" s="193"/>
      <c r="H690" s="193"/>
    </row>
    <row r="691" spans="7:8" x14ac:dyDescent="0.25">
      <c r="G691" s="193"/>
      <c r="H691" s="193"/>
    </row>
    <row r="692" spans="7:8" x14ac:dyDescent="0.25">
      <c r="G692" s="193"/>
      <c r="H692" s="193"/>
    </row>
    <row r="693" spans="7:8" x14ac:dyDescent="0.25">
      <c r="G693" s="193"/>
      <c r="H693" s="193"/>
    </row>
    <row r="694" spans="7:8" x14ac:dyDescent="0.25">
      <c r="G694" s="193"/>
      <c r="H694" s="193"/>
    </row>
    <row r="695" spans="7:8" x14ac:dyDescent="0.25">
      <c r="G695" s="193"/>
      <c r="H695" s="193"/>
    </row>
    <row r="696" spans="7:8" x14ac:dyDescent="0.25">
      <c r="G696" s="193"/>
      <c r="H696" s="193"/>
    </row>
    <row r="697" spans="7:8" x14ac:dyDescent="0.25">
      <c r="G697" s="193"/>
      <c r="H697" s="193"/>
    </row>
    <row r="698" spans="7:8" x14ac:dyDescent="0.25">
      <c r="G698" s="193"/>
      <c r="H698" s="193"/>
    </row>
    <row r="699" spans="7:8" x14ac:dyDescent="0.25">
      <c r="G699" s="193"/>
      <c r="H699" s="193"/>
    </row>
    <row r="700" spans="7:8" x14ac:dyDescent="0.25">
      <c r="G700" s="193"/>
      <c r="H700" s="193"/>
    </row>
    <row r="701" spans="7:8" x14ac:dyDescent="0.25">
      <c r="G701" s="193"/>
      <c r="H701" s="193"/>
    </row>
    <row r="702" spans="7:8" x14ac:dyDescent="0.25">
      <c r="G702" s="193"/>
      <c r="H702" s="193"/>
    </row>
    <row r="703" spans="7:8" x14ac:dyDescent="0.25">
      <c r="G703" s="193"/>
      <c r="H703" s="193"/>
    </row>
    <row r="704" spans="7:8" x14ac:dyDescent="0.25">
      <c r="G704" s="193"/>
      <c r="H704" s="193"/>
    </row>
    <row r="705" spans="7:8" x14ac:dyDescent="0.25">
      <c r="G705" s="193"/>
      <c r="H705" s="193"/>
    </row>
    <row r="706" spans="7:8" x14ac:dyDescent="0.25">
      <c r="G706" s="193"/>
      <c r="H706" s="193"/>
    </row>
    <row r="707" spans="7:8" x14ac:dyDescent="0.25">
      <c r="G707" s="193"/>
      <c r="H707" s="193"/>
    </row>
  </sheetData>
  <mergeCells count="24">
    <mergeCell ref="A1:S1"/>
    <mergeCell ref="E2:S2"/>
    <mergeCell ref="Q3:Q6"/>
    <mergeCell ref="R3:R6"/>
    <mergeCell ref="I3:I6"/>
    <mergeCell ref="J3:J6"/>
    <mergeCell ref="K3:K6"/>
    <mergeCell ref="L3:L6"/>
    <mergeCell ref="M3:M6"/>
    <mergeCell ref="C2:D2"/>
    <mergeCell ref="A3:A6"/>
    <mergeCell ref="B3:B6"/>
    <mergeCell ref="C3:C6"/>
    <mergeCell ref="P3:P6"/>
    <mergeCell ref="D3:E5"/>
    <mergeCell ref="F3:F6"/>
    <mergeCell ref="L84:M84"/>
    <mergeCell ref="L155:M155"/>
    <mergeCell ref="S238:S239"/>
    <mergeCell ref="A669:S669"/>
    <mergeCell ref="S3:S6"/>
    <mergeCell ref="G3:H5"/>
    <mergeCell ref="N3:N6"/>
    <mergeCell ref="O3:O6"/>
  </mergeCells>
  <pageMargins left="0.7" right="0.7" top="0.75" bottom="0.75" header="0.3" footer="0.3"/>
  <pageSetup paperSize="9" orientation="landscape" verticalDpi="300" r:id="rId1"/>
  <ignoredErrors>
    <ignoredError sqref="P120 P204 P284 P415 P478 P542 E179 E45 H127 G127 P214 E129 H120 P665 P149" formulaRange="1"/>
    <ignoredError sqref="G179 G182 G185 G188 G192 G195 G198 G201 G204 G268:G272 G273 G278:G279 G280:G285 G331:G339 G344:G350 G397:G398 G399:G416 G459:G460 G461:G467 G472:G473 G474:G475 G476:G479 G523:G531 G536:G542 G589:G597 G602:G605 G606:G608 H353 G45 G121:G122 G38 G29 G35 G214:H214 G483:H483 G420:H420 G356:H356 G290:H290 G614:H614 G130:H130 G128:H129 G51:H51 G131:H131 G291:H292 G357:G359 H357:H359 G421:H421 G484:H484 G550:H550 G615:H616 G422:H422 G485:H485 G217 G486:H486 G423:H424 G293:H293 G551:H551 G617:H617 G425:H425 G58 G136:G137 H137 G623:H623 G557:H557 G426:H426 G622 G556 G491:G502 G427:G438 G364:G368 G298:G302 G224 G227:H227 H299:H302 H365:H368 H428:H434 H492:H498 H142 G61:H61 H66 G558:H559 G624:H625 H230 G560:H560 G626:H626 G307:G308 H234 G631:G634 G565:G568 G373:G376 G73 G147:G148 G76 G149:G150 G240 H376 H438 H502 H568 G504:H504 H634 G378:H378 G440:H440 G312 G155:H155 G570:H570 G636:H636 G85 G441:H442 G505:H506 G572:H572 G574:H574 H252 H251 G318:I318 J318 G384:J384 G446:J446 H510:J510 G576:J576 G642:J642 G571:H571 G508:H508 H444 G44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Petq Pancheva</cp:lastModifiedBy>
  <cp:lastPrinted>2017-10-27T10:14:04Z</cp:lastPrinted>
  <dcterms:created xsi:type="dcterms:W3CDTF">2017-02-08T09:35:09Z</dcterms:created>
  <dcterms:modified xsi:type="dcterms:W3CDTF">2022-09-15T11:09:36Z</dcterms:modified>
</cp:coreProperties>
</file>